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Konzernkommunikation\Investor Relations\Berichte\QB\2020\6M\"/>
    </mc:Choice>
  </mc:AlternateContent>
  <xr:revisionPtr revIDLastSave="0" documentId="13_ncr:1_{08DF64E4-8B78-4570-8E18-EF7F2C219D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externalReferences>
    <externalReference r:id="rId6"/>
  </externalReferences>
  <definedNames>
    <definedName name="_xlnm.Print_Area" localSheetId="0">Group!$A$1:$M$218</definedName>
    <definedName name="_xlnm.Print_Area" localSheetId="3">'Intern.+ Special Divisions'!$A$1:$M$101</definedName>
    <definedName name="_xlnm.Print_Area" localSheetId="1">'North + West'!$A$1:$M$101</definedName>
    <definedName name="_xlnm.Print_Area" localSheetId="4">Other!$A$1:$M$101</definedName>
    <definedName name="_xlnm.Print_Area" localSheetId="2">'South + East'!$A$1:$M$101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4" i="1" l="1"/>
  <c r="D124" i="1"/>
  <c r="B124" i="1"/>
  <c r="B125" i="1"/>
  <c r="B79" i="1" l="1"/>
  <c r="D79" i="1"/>
  <c r="E125" i="1" l="1"/>
  <c r="G125" i="1"/>
  <c r="D97" i="1" l="1"/>
  <c r="D94" i="1"/>
  <c r="D125" i="1"/>
  <c r="B105" i="1" l="1"/>
  <c r="B9" i="5" l="1"/>
  <c r="B8" i="2"/>
  <c r="D13" i="1" l="1"/>
  <c r="E94" i="1" l="1"/>
  <c r="C125" i="1" l="1"/>
  <c r="D15" i="1" l="1"/>
  <c r="D26" i="1" l="1"/>
  <c r="C64" i="5" l="1"/>
  <c r="C59" i="2"/>
  <c r="D112" i="1" l="1"/>
  <c r="D105" i="1"/>
  <c r="D68" i="1"/>
  <c r="D57" i="1"/>
  <c r="D49" i="1"/>
  <c r="D38" i="1"/>
  <c r="D100" i="5" l="1"/>
  <c r="B100" i="5"/>
  <c r="D99" i="5"/>
  <c r="B99" i="5"/>
  <c r="D98" i="5"/>
  <c r="B98" i="5"/>
  <c r="C98" i="5" s="1"/>
  <c r="D97" i="5"/>
  <c r="B97" i="5"/>
  <c r="D96" i="5"/>
  <c r="B96" i="5"/>
  <c r="C96" i="5" s="1"/>
  <c r="C81" i="5"/>
  <c r="C80" i="5"/>
  <c r="C77" i="5"/>
  <c r="C76" i="5"/>
  <c r="C75" i="5"/>
  <c r="C74" i="5"/>
  <c r="D70" i="5"/>
  <c r="B70" i="5"/>
  <c r="D69" i="5"/>
  <c r="B69" i="5"/>
  <c r="D68" i="5"/>
  <c r="B68" i="5"/>
  <c r="C68" i="5" s="1"/>
  <c r="D67" i="5"/>
  <c r="B67" i="5"/>
  <c r="D66" i="5"/>
  <c r="B66" i="5"/>
  <c r="C65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D39" i="5"/>
  <c r="B39" i="5"/>
  <c r="D38" i="5"/>
  <c r="B38" i="5"/>
  <c r="D37" i="5"/>
  <c r="B37" i="5"/>
  <c r="D36" i="5"/>
  <c r="B36" i="5"/>
  <c r="C36" i="5" s="1"/>
  <c r="D35" i="5"/>
  <c r="B35" i="5"/>
  <c r="C32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9" i="5"/>
  <c r="D8" i="5"/>
  <c r="B8" i="5"/>
  <c r="C7" i="5"/>
  <c r="C6" i="5"/>
  <c r="C5" i="5"/>
  <c r="D100" i="3"/>
  <c r="B100" i="3"/>
  <c r="D99" i="3"/>
  <c r="B99" i="3"/>
  <c r="C99" i="3" s="1"/>
  <c r="D98" i="3"/>
  <c r="B98" i="3"/>
  <c r="D97" i="3"/>
  <c r="B97" i="3"/>
  <c r="D96" i="3"/>
  <c r="B96" i="3"/>
  <c r="C95" i="3"/>
  <c r="C94" i="3"/>
  <c r="C93" i="3"/>
  <c r="C92" i="3"/>
  <c r="C91" i="3"/>
  <c r="C90" i="3"/>
  <c r="C89" i="3"/>
  <c r="C88" i="3"/>
  <c r="C87" i="3"/>
  <c r="C86" i="3"/>
  <c r="C83" i="3"/>
  <c r="C82" i="3"/>
  <c r="C81" i="3"/>
  <c r="C80" i="3"/>
  <c r="C78" i="3"/>
  <c r="C77" i="3"/>
  <c r="C76" i="3"/>
  <c r="C75" i="3"/>
  <c r="C74" i="3"/>
  <c r="D70" i="3"/>
  <c r="B70" i="3"/>
  <c r="D69" i="3"/>
  <c r="B69" i="3"/>
  <c r="D68" i="3"/>
  <c r="B68" i="3"/>
  <c r="C68" i="3" s="1"/>
  <c r="D67" i="3"/>
  <c r="B67" i="3"/>
  <c r="D66" i="3"/>
  <c r="B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D39" i="3"/>
  <c r="B39" i="3"/>
  <c r="D38" i="3"/>
  <c r="B38" i="3"/>
  <c r="D37" i="3"/>
  <c r="B37" i="3"/>
  <c r="D36" i="3"/>
  <c r="B36" i="3"/>
  <c r="D35" i="3"/>
  <c r="B35" i="3"/>
  <c r="C34" i="3"/>
  <c r="C33" i="3"/>
  <c r="C32" i="3"/>
  <c r="C31" i="3"/>
  <c r="C30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D8" i="3"/>
  <c r="B8" i="3"/>
  <c r="C7" i="3"/>
  <c r="C6" i="3"/>
  <c r="C5" i="3"/>
  <c r="D100" i="4"/>
  <c r="B100" i="4"/>
  <c r="C100" i="4" s="1"/>
  <c r="D99" i="4"/>
  <c r="B99" i="4"/>
  <c r="D98" i="4"/>
  <c r="B98" i="4"/>
  <c r="C98" i="4" s="1"/>
  <c r="D97" i="4"/>
  <c r="B97" i="4"/>
  <c r="C97" i="4" s="1"/>
  <c r="D96" i="4"/>
  <c r="B96" i="4"/>
  <c r="C95" i="4"/>
  <c r="C93" i="4"/>
  <c r="C92" i="4"/>
  <c r="C91" i="4"/>
  <c r="C89" i="4"/>
  <c r="C87" i="4"/>
  <c r="C86" i="4"/>
  <c r="C85" i="4"/>
  <c r="C84" i="4"/>
  <c r="C83" i="4"/>
  <c r="C82" i="4"/>
  <c r="C81" i="4"/>
  <c r="C80" i="4"/>
  <c r="C79" i="4"/>
  <c r="C78" i="4"/>
  <c r="C77" i="4"/>
  <c r="C75" i="4"/>
  <c r="C74" i="4"/>
  <c r="D70" i="4"/>
  <c r="B70" i="4"/>
  <c r="C70" i="4" s="1"/>
  <c r="D69" i="4"/>
  <c r="B69" i="4"/>
  <c r="C69" i="4" s="1"/>
  <c r="D68" i="4"/>
  <c r="B68" i="4"/>
  <c r="D67" i="4"/>
  <c r="B67" i="4"/>
  <c r="C67" i="4" s="1"/>
  <c r="D66" i="4"/>
  <c r="B66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D39" i="4"/>
  <c r="B39" i="4"/>
  <c r="D38" i="4"/>
  <c r="B38" i="4"/>
  <c r="D37" i="4"/>
  <c r="B37" i="4"/>
  <c r="D36" i="4"/>
  <c r="B36" i="4"/>
  <c r="D35" i="4"/>
  <c r="B35" i="4"/>
  <c r="B40" i="4" s="1"/>
  <c r="C34" i="4"/>
  <c r="C33" i="4"/>
  <c r="C32" i="4"/>
  <c r="C31" i="4"/>
  <c r="C30" i="4"/>
  <c r="C28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D8" i="4"/>
  <c r="B8" i="4"/>
  <c r="C7" i="4"/>
  <c r="C6" i="4"/>
  <c r="C5" i="4"/>
  <c r="D100" i="2"/>
  <c r="B100" i="2"/>
  <c r="D99" i="2"/>
  <c r="B99" i="2"/>
  <c r="D98" i="2"/>
  <c r="B98" i="2"/>
  <c r="D97" i="2"/>
  <c r="B97" i="2"/>
  <c r="D96" i="2"/>
  <c r="B96" i="2"/>
  <c r="C95" i="2"/>
  <c r="C94" i="2"/>
  <c r="C93" i="2"/>
  <c r="C92" i="2"/>
  <c r="C91" i="2"/>
  <c r="C90" i="2"/>
  <c r="C88" i="2"/>
  <c r="C87" i="2"/>
  <c r="C86" i="2"/>
  <c r="C81" i="2"/>
  <c r="C76" i="2"/>
  <c r="C75" i="2"/>
  <c r="C74" i="2"/>
  <c r="D70" i="2"/>
  <c r="C70" i="2" s="1"/>
  <c r="B70" i="2"/>
  <c r="D69" i="2"/>
  <c r="B69" i="2"/>
  <c r="D68" i="2"/>
  <c r="B68" i="2"/>
  <c r="D67" i="2"/>
  <c r="B67" i="2"/>
  <c r="D66" i="2"/>
  <c r="B66" i="2"/>
  <c r="C65" i="2"/>
  <c r="C64" i="2"/>
  <c r="C63" i="2"/>
  <c r="C62" i="2"/>
  <c r="C61" i="2"/>
  <c r="C60" i="2"/>
  <c r="C58" i="2"/>
  <c r="C57" i="2"/>
  <c r="C56" i="2"/>
  <c r="C51" i="2"/>
  <c r="C48" i="2"/>
  <c r="C47" i="2"/>
  <c r="C46" i="2"/>
  <c r="C45" i="2"/>
  <c r="C44" i="2"/>
  <c r="D39" i="2"/>
  <c r="B39" i="2"/>
  <c r="D38" i="2"/>
  <c r="B38" i="2"/>
  <c r="D37" i="2"/>
  <c r="B37" i="2"/>
  <c r="D36" i="2"/>
  <c r="B36" i="2"/>
  <c r="D35" i="2"/>
  <c r="B35" i="2"/>
  <c r="C33" i="2"/>
  <c r="C32" i="2"/>
  <c r="C31" i="2"/>
  <c r="C30" i="2"/>
  <c r="C29" i="2"/>
  <c r="C28" i="2"/>
  <c r="C27" i="2"/>
  <c r="C26" i="2"/>
  <c r="C25" i="2"/>
  <c r="C21" i="2"/>
  <c r="C20" i="2"/>
  <c r="C17" i="2"/>
  <c r="C16" i="2"/>
  <c r="C15" i="2"/>
  <c r="C14" i="2"/>
  <c r="C13" i="2"/>
  <c r="D8" i="2"/>
  <c r="C7" i="2"/>
  <c r="C6" i="2"/>
  <c r="C5" i="2"/>
  <c r="C67" i="3" l="1"/>
  <c r="B71" i="3"/>
  <c r="B3" i="3" s="1"/>
  <c r="C39" i="4"/>
  <c r="C67" i="2"/>
  <c r="C97" i="2"/>
  <c r="C37" i="2"/>
  <c r="D40" i="4"/>
  <c r="C99" i="2"/>
  <c r="D101" i="3"/>
  <c r="D4" i="3" s="1"/>
  <c r="B40" i="2"/>
  <c r="C39" i="2"/>
  <c r="C98" i="2"/>
  <c r="D40" i="3"/>
  <c r="D40" i="2"/>
  <c r="C66" i="2"/>
  <c r="C68" i="2"/>
  <c r="C36" i="4"/>
  <c r="C100" i="3"/>
  <c r="D40" i="5"/>
  <c r="D101" i="5"/>
  <c r="D4" i="5" s="1"/>
  <c r="C66" i="5"/>
  <c r="C67" i="5"/>
  <c r="C69" i="5"/>
  <c r="B101" i="5"/>
  <c r="C101" i="5" s="1"/>
  <c r="C99" i="4"/>
  <c r="B101" i="4"/>
  <c r="B4" i="4" s="1"/>
  <c r="B101" i="2"/>
  <c r="C101" i="2" s="1"/>
  <c r="C96" i="2"/>
  <c r="C100" i="2"/>
  <c r="C70" i="5"/>
  <c r="B71" i="4"/>
  <c r="C69" i="2"/>
  <c r="B40" i="5"/>
  <c r="C38" i="5"/>
  <c r="B40" i="3"/>
  <c r="C39" i="3"/>
  <c r="C37" i="4"/>
  <c r="C38" i="2"/>
  <c r="D101" i="2"/>
  <c r="D4" i="2" s="1"/>
  <c r="D71" i="2"/>
  <c r="D3" i="2" s="1"/>
  <c r="C35" i="2"/>
  <c r="C36" i="2"/>
  <c r="D101" i="4"/>
  <c r="D4" i="4" s="1"/>
  <c r="D71" i="4"/>
  <c r="D3" i="4" s="1"/>
  <c r="C35" i="4"/>
  <c r="C38" i="4"/>
  <c r="C98" i="3"/>
  <c r="C96" i="3"/>
  <c r="C97" i="3"/>
  <c r="D71" i="3"/>
  <c r="D3" i="3" s="1"/>
  <c r="C69" i="3"/>
  <c r="C66" i="3"/>
  <c r="C70" i="3"/>
  <c r="C37" i="3"/>
  <c r="C38" i="3"/>
  <c r="C35" i="3"/>
  <c r="C36" i="3"/>
  <c r="D71" i="5"/>
  <c r="D3" i="5" s="1"/>
  <c r="C39" i="5"/>
  <c r="C37" i="5"/>
  <c r="C40" i="5"/>
  <c r="B71" i="5"/>
  <c r="C35" i="5"/>
  <c r="C97" i="5"/>
  <c r="C3" i="3"/>
  <c r="B101" i="3"/>
  <c r="B3" i="4"/>
  <c r="C71" i="4"/>
  <c r="C40" i="4"/>
  <c r="C68" i="4"/>
  <c r="C66" i="4"/>
  <c r="C96" i="4"/>
  <c r="C40" i="2"/>
  <c r="B71" i="2"/>
  <c r="D217" i="1"/>
  <c r="B217" i="1"/>
  <c r="C217" i="1" s="1"/>
  <c r="D216" i="1"/>
  <c r="B216" i="1"/>
  <c r="D215" i="1"/>
  <c r="B215" i="1"/>
  <c r="C215" i="1" s="1"/>
  <c r="D214" i="1"/>
  <c r="B214" i="1"/>
  <c r="D213" i="1"/>
  <c r="B213" i="1"/>
  <c r="C213" i="1" s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D187" i="1"/>
  <c r="B187" i="1"/>
  <c r="C187" i="1" s="1"/>
  <c r="D186" i="1"/>
  <c r="B186" i="1"/>
  <c r="C186" i="1" s="1"/>
  <c r="D185" i="1"/>
  <c r="B185" i="1"/>
  <c r="D184" i="1"/>
  <c r="B184" i="1"/>
  <c r="C184" i="1" s="1"/>
  <c r="D183" i="1"/>
  <c r="B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8" i="1"/>
  <c r="C157" i="1"/>
  <c r="D154" i="1"/>
  <c r="B154" i="1"/>
  <c r="D153" i="1"/>
  <c r="B153" i="1"/>
  <c r="D152" i="1"/>
  <c r="B152" i="1"/>
  <c r="D151" i="1"/>
  <c r="B151" i="1"/>
  <c r="C151" i="1" s="1"/>
  <c r="D150" i="1"/>
  <c r="B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0" i="1"/>
  <c r="C119" i="1"/>
  <c r="C118" i="1"/>
  <c r="C116" i="1"/>
  <c r="C115" i="1"/>
  <c r="C111" i="1"/>
  <c r="C110" i="1"/>
  <c r="C109" i="1"/>
  <c r="C107" i="1"/>
  <c r="C106" i="1"/>
  <c r="B112" i="1"/>
  <c r="C112" i="1" s="1"/>
  <c r="C105" i="1"/>
  <c r="C104" i="1"/>
  <c r="C103" i="1"/>
  <c r="C102" i="1"/>
  <c r="C101" i="1"/>
  <c r="C100" i="1"/>
  <c r="C98" i="1"/>
  <c r="C97" i="1"/>
  <c r="C95" i="1"/>
  <c r="C94" i="1"/>
  <c r="C92" i="1"/>
  <c r="C91" i="1"/>
  <c r="C88" i="1"/>
  <c r="C87" i="1"/>
  <c r="C86" i="1"/>
  <c r="C85" i="1"/>
  <c r="C84" i="1"/>
  <c r="C83" i="1"/>
  <c r="C82" i="1"/>
  <c r="C76" i="1"/>
  <c r="B68" i="1"/>
  <c r="D62" i="1"/>
  <c r="B62" i="1"/>
  <c r="B57" i="1"/>
  <c r="B49" i="1"/>
  <c r="B38" i="1"/>
  <c r="C31" i="1"/>
  <c r="C21" i="1"/>
  <c r="C19" i="1"/>
  <c r="D17" i="1"/>
  <c r="D18" i="1" s="1"/>
  <c r="D20" i="1" s="1"/>
  <c r="D22" i="1" s="1"/>
  <c r="B17" i="1"/>
  <c r="C14" i="1"/>
  <c r="D24" i="1"/>
  <c r="D25" i="1" s="1"/>
  <c r="B13" i="1"/>
  <c r="B24" i="1" s="1"/>
  <c r="B25" i="1" s="1"/>
  <c r="C12" i="1"/>
  <c r="C11" i="1"/>
  <c r="C10" i="1"/>
  <c r="C9" i="1"/>
  <c r="C8" i="1"/>
  <c r="C7" i="1"/>
  <c r="C6" i="1"/>
  <c r="C5" i="1"/>
  <c r="C4" i="1"/>
  <c r="C17" i="1" l="1"/>
  <c r="C62" i="1"/>
  <c r="C40" i="3"/>
  <c r="B4" i="2"/>
  <c r="C183" i="1"/>
  <c r="C150" i="1"/>
  <c r="D27" i="1"/>
  <c r="D188" i="1"/>
  <c r="D2" i="1" s="1"/>
  <c r="D9" i="4" s="1"/>
  <c r="C214" i="1"/>
  <c r="B3" i="2"/>
  <c r="C71" i="3"/>
  <c r="B4" i="5"/>
  <c r="C4" i="5" s="1"/>
  <c r="B74" i="1"/>
  <c r="C38" i="1" s="1"/>
  <c r="B15" i="1"/>
  <c r="B218" i="1"/>
  <c r="B3" i="1" s="1"/>
  <c r="B188" i="1"/>
  <c r="C154" i="1"/>
  <c r="C13" i="1"/>
  <c r="D218" i="1"/>
  <c r="D3" i="1" s="1"/>
  <c r="D10" i="3" s="1"/>
  <c r="C216" i="1"/>
  <c r="C185" i="1"/>
  <c r="C152" i="1"/>
  <c r="C153" i="1"/>
  <c r="D155" i="1"/>
  <c r="C101" i="4"/>
  <c r="B3" i="5"/>
  <c r="C3" i="5" s="1"/>
  <c r="C71" i="5"/>
  <c r="C101" i="3"/>
  <c r="B4" i="3"/>
  <c r="C4" i="4"/>
  <c r="C3" i="4"/>
  <c r="C71" i="2"/>
  <c r="C4" i="2"/>
  <c r="B2" i="1"/>
  <c r="B9" i="4" s="1"/>
  <c r="C16" i="1"/>
  <c r="C24" i="1"/>
  <c r="D74" i="1"/>
  <c r="D77" i="1" s="1"/>
  <c r="B155" i="1"/>
  <c r="C3" i="1" l="1"/>
  <c r="B10" i="4"/>
  <c r="B26" i="1"/>
  <c r="B27" i="1" s="1"/>
  <c r="M10" i="5"/>
  <c r="C40" i="1"/>
  <c r="C44" i="1"/>
  <c r="C48" i="1"/>
  <c r="C52" i="1"/>
  <c r="C56" i="1"/>
  <c r="C60" i="1"/>
  <c r="C64" i="1"/>
  <c r="C69" i="1"/>
  <c r="C73" i="1"/>
  <c r="C47" i="1"/>
  <c r="C59" i="1"/>
  <c r="C72" i="1"/>
  <c r="C41" i="1"/>
  <c r="C45" i="1"/>
  <c r="C53" i="1"/>
  <c r="C61" i="1"/>
  <c r="C65" i="1"/>
  <c r="C70" i="1"/>
  <c r="C74" i="1"/>
  <c r="C43" i="1"/>
  <c r="C51" i="1"/>
  <c r="C67" i="1"/>
  <c r="C42" i="1"/>
  <c r="C46" i="1"/>
  <c r="C50" i="1"/>
  <c r="C54" i="1"/>
  <c r="C58" i="1"/>
  <c r="C66" i="1"/>
  <c r="C71" i="1"/>
  <c r="C39" i="1"/>
  <c r="C55" i="1"/>
  <c r="C63" i="1"/>
  <c r="C49" i="1"/>
  <c r="C68" i="1"/>
  <c r="C57" i="1"/>
  <c r="C188" i="1"/>
  <c r="D9" i="2"/>
  <c r="D9" i="3"/>
  <c r="B10" i="2"/>
  <c r="C15" i="1"/>
  <c r="B77" i="1"/>
  <c r="B18" i="1"/>
  <c r="C2" i="1"/>
  <c r="B9" i="3"/>
  <c r="C155" i="1"/>
  <c r="B41" i="2"/>
  <c r="B41" i="4"/>
  <c r="B41" i="3"/>
  <c r="B41" i="5"/>
  <c r="D10" i="4"/>
  <c r="C218" i="1"/>
  <c r="D10" i="2"/>
  <c r="D41" i="3"/>
  <c r="D41" i="5"/>
  <c r="D41" i="2"/>
  <c r="D41" i="4"/>
  <c r="B10" i="3"/>
  <c r="C4" i="3"/>
  <c r="B9" i="2"/>
  <c r="C3" i="2"/>
  <c r="D121" i="1"/>
  <c r="C18" i="1" l="1"/>
  <c r="B121" i="1"/>
  <c r="B20" i="1"/>
  <c r="C26" i="1"/>
  <c r="D81" i="1"/>
  <c r="B22" i="1" l="1"/>
  <c r="B29" i="1" s="1"/>
  <c r="B81" i="1"/>
  <c r="C81" i="1" s="1"/>
  <c r="D89" i="1"/>
  <c r="C20" i="1"/>
  <c r="C22" i="1"/>
  <c r="D29" i="1"/>
  <c r="D28" i="1"/>
  <c r="B28" i="1" l="1"/>
  <c r="D99" i="1"/>
  <c r="D113" i="1" s="1"/>
  <c r="B89" i="1"/>
  <c r="B99" i="1" s="1"/>
  <c r="B113" i="1" s="1"/>
  <c r="C28" i="1"/>
  <c r="C89" i="1" l="1"/>
  <c r="C99" i="1"/>
  <c r="C113" i="1" l="1"/>
  <c r="G73" i="1" l="1"/>
  <c r="G47" i="1"/>
  <c r="E9" i="5" l="1"/>
  <c r="G97" i="1"/>
  <c r="G94" i="1"/>
  <c r="E107" i="1"/>
  <c r="E106" i="1"/>
  <c r="E97" i="1"/>
  <c r="E73" i="1"/>
  <c r="E54" i="1"/>
  <c r="F31" i="1"/>
  <c r="E16" i="1"/>
  <c r="F33" i="2" l="1"/>
  <c r="F32" i="2"/>
  <c r="F31" i="2"/>
  <c r="F30" i="2"/>
  <c r="F29" i="2"/>
  <c r="F28" i="2"/>
  <c r="F27" i="2"/>
  <c r="F26" i="2"/>
  <c r="F25" i="2"/>
  <c r="F24" i="2"/>
  <c r="F21" i="2"/>
  <c r="F20" i="2"/>
  <c r="F17" i="2"/>
  <c r="F176" i="1" l="1"/>
  <c r="F76" i="4" l="1"/>
  <c r="F95" i="2"/>
  <c r="E8" i="4" l="1"/>
  <c r="F95" i="4"/>
  <c r="F93" i="4"/>
  <c r="F92" i="4"/>
  <c r="F91" i="4"/>
  <c r="F89" i="4"/>
  <c r="F87" i="4"/>
  <c r="F86" i="4"/>
  <c r="F85" i="4"/>
  <c r="F84" i="4"/>
  <c r="F83" i="4"/>
  <c r="F82" i="4"/>
  <c r="F81" i="4"/>
  <c r="F80" i="4"/>
  <c r="F79" i="4"/>
  <c r="F78" i="4"/>
  <c r="F77" i="4"/>
  <c r="F95" i="3"/>
  <c r="F94" i="3"/>
  <c r="F93" i="3"/>
  <c r="F92" i="3"/>
  <c r="F91" i="3"/>
  <c r="F90" i="3"/>
  <c r="F89" i="3"/>
  <c r="F88" i="3"/>
  <c r="F87" i="3"/>
  <c r="F86" i="3"/>
  <c r="F83" i="3"/>
  <c r="F82" i="3"/>
  <c r="F81" i="3"/>
  <c r="F80" i="3"/>
  <c r="F78" i="3"/>
  <c r="F77" i="3"/>
  <c r="F81" i="5"/>
  <c r="F80" i="5"/>
  <c r="F77" i="5"/>
  <c r="F94" i="2"/>
  <c r="F93" i="2"/>
  <c r="F92" i="2"/>
  <c r="F91" i="2"/>
  <c r="F90" i="2"/>
  <c r="F89" i="2"/>
  <c r="F88" i="2"/>
  <c r="F87" i="2"/>
  <c r="F86" i="2"/>
  <c r="F81" i="2"/>
  <c r="F78" i="2"/>
  <c r="F62" i="4"/>
  <c r="F61" i="4"/>
  <c r="F60" i="4"/>
  <c r="F59" i="4"/>
  <c r="F57" i="4"/>
  <c r="F56" i="4"/>
  <c r="F55" i="4"/>
  <c r="F54" i="4"/>
  <c r="F53" i="4"/>
  <c r="F52" i="4"/>
  <c r="F51" i="4"/>
  <c r="F50" i="4"/>
  <c r="F49" i="4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62" i="2"/>
  <c r="F61" i="2"/>
  <c r="F60" i="2"/>
  <c r="F58" i="2"/>
  <c r="F57" i="2"/>
  <c r="F56" i="2"/>
  <c r="F55" i="2"/>
  <c r="F51" i="2"/>
  <c r="F49" i="2"/>
  <c r="F34" i="4"/>
  <c r="F33" i="4"/>
  <c r="F32" i="4"/>
  <c r="F31" i="4"/>
  <c r="F30" i="4"/>
  <c r="F28" i="4"/>
  <c r="F26" i="4"/>
  <c r="F25" i="4"/>
  <c r="F24" i="4"/>
  <c r="F23" i="4"/>
  <c r="F22" i="4"/>
  <c r="F21" i="4"/>
  <c r="F20" i="4"/>
  <c r="F19" i="4"/>
  <c r="F18" i="4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E100" i="4"/>
  <c r="E99" i="4"/>
  <c r="E98" i="4"/>
  <c r="E97" i="4"/>
  <c r="E96" i="4"/>
  <c r="F75" i="4"/>
  <c r="F74" i="4"/>
  <c r="E70" i="4"/>
  <c r="E69" i="4"/>
  <c r="E68" i="4"/>
  <c r="E67" i="4"/>
  <c r="E66" i="4"/>
  <c r="F65" i="4"/>
  <c r="F64" i="4"/>
  <c r="F63" i="4"/>
  <c r="F48" i="4"/>
  <c r="F47" i="4"/>
  <c r="F46" i="4"/>
  <c r="F45" i="4"/>
  <c r="F44" i="4"/>
  <c r="E39" i="4"/>
  <c r="E38" i="4"/>
  <c r="E37" i="4"/>
  <c r="E36" i="4"/>
  <c r="E35" i="4"/>
  <c r="F17" i="4"/>
  <c r="F16" i="4"/>
  <c r="F15" i="4"/>
  <c r="F14" i="4"/>
  <c r="F13" i="4"/>
  <c r="F7" i="4"/>
  <c r="F6" i="4"/>
  <c r="F5" i="4"/>
  <c r="E100" i="3"/>
  <c r="E99" i="3"/>
  <c r="E98" i="3"/>
  <c r="E97" i="3"/>
  <c r="E96" i="3"/>
  <c r="F76" i="3"/>
  <c r="F75" i="3"/>
  <c r="F74" i="3"/>
  <c r="E70" i="3"/>
  <c r="E69" i="3"/>
  <c r="E68" i="3"/>
  <c r="E67" i="3"/>
  <c r="E66" i="3"/>
  <c r="F65" i="3"/>
  <c r="F64" i="3"/>
  <c r="F63" i="3"/>
  <c r="F48" i="3"/>
  <c r="F47" i="3"/>
  <c r="F46" i="3"/>
  <c r="F45" i="3"/>
  <c r="F44" i="3"/>
  <c r="E39" i="3"/>
  <c r="E38" i="3"/>
  <c r="E37" i="3"/>
  <c r="E36" i="3"/>
  <c r="E35" i="3"/>
  <c r="F17" i="3"/>
  <c r="F16" i="3"/>
  <c r="F15" i="3"/>
  <c r="F14" i="3"/>
  <c r="F13" i="3"/>
  <c r="E8" i="3"/>
  <c r="F7" i="3"/>
  <c r="F6" i="3"/>
  <c r="F5" i="3"/>
  <c r="E100" i="5"/>
  <c r="E99" i="5"/>
  <c r="E98" i="5"/>
  <c r="E97" i="5"/>
  <c r="E96" i="5"/>
  <c r="F76" i="5"/>
  <c r="F75" i="5"/>
  <c r="F74" i="5"/>
  <c r="E70" i="5"/>
  <c r="E69" i="5"/>
  <c r="E68" i="5"/>
  <c r="E67" i="5"/>
  <c r="E66" i="5"/>
  <c r="F65" i="5"/>
  <c r="F63" i="5"/>
  <c r="F48" i="5"/>
  <c r="F47" i="5"/>
  <c r="F46" i="5"/>
  <c r="F45" i="5"/>
  <c r="F44" i="5"/>
  <c r="E39" i="5"/>
  <c r="E38" i="5"/>
  <c r="E37" i="5"/>
  <c r="E36" i="5"/>
  <c r="E35" i="5"/>
  <c r="F17" i="5"/>
  <c r="F16" i="5"/>
  <c r="F15" i="5"/>
  <c r="F14" i="5"/>
  <c r="F13" i="5"/>
  <c r="F9" i="5"/>
  <c r="E8" i="5"/>
  <c r="F7" i="5"/>
  <c r="F6" i="5"/>
  <c r="F5" i="5"/>
  <c r="E100" i="2"/>
  <c r="E99" i="2"/>
  <c r="E98" i="2"/>
  <c r="E97" i="2"/>
  <c r="E96" i="2"/>
  <c r="F76" i="2"/>
  <c r="F75" i="2"/>
  <c r="F74" i="2"/>
  <c r="E70" i="2"/>
  <c r="E69" i="2"/>
  <c r="E68" i="2"/>
  <c r="E67" i="2"/>
  <c r="E66" i="2"/>
  <c r="F65" i="2"/>
  <c r="F64" i="2"/>
  <c r="F63" i="2"/>
  <c r="F48" i="2"/>
  <c r="F47" i="2"/>
  <c r="F46" i="2"/>
  <c r="F45" i="2"/>
  <c r="F44" i="2"/>
  <c r="E39" i="2"/>
  <c r="E38" i="2"/>
  <c r="E37" i="2"/>
  <c r="E36" i="2"/>
  <c r="E35" i="2"/>
  <c r="F16" i="2"/>
  <c r="F15" i="2"/>
  <c r="F14" i="2"/>
  <c r="F13" i="2"/>
  <c r="E8" i="2"/>
  <c r="F7" i="2"/>
  <c r="F6" i="2"/>
  <c r="F5" i="2"/>
  <c r="E217" i="1"/>
  <c r="E216" i="1"/>
  <c r="E215" i="1"/>
  <c r="E214" i="1"/>
  <c r="E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E187" i="1"/>
  <c r="E186" i="1"/>
  <c r="E185" i="1"/>
  <c r="E184" i="1"/>
  <c r="E183" i="1"/>
  <c r="F182" i="1"/>
  <c r="F181" i="1"/>
  <c r="F180" i="1"/>
  <c r="F179" i="1"/>
  <c r="F178" i="1"/>
  <c r="F177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58" i="1"/>
  <c r="F157" i="1"/>
  <c r="E154" i="1"/>
  <c r="E153" i="1"/>
  <c r="E152" i="1"/>
  <c r="E151" i="1"/>
  <c r="E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0" i="1"/>
  <c r="F119" i="1"/>
  <c r="F118" i="1"/>
  <c r="F116" i="1"/>
  <c r="F115" i="1"/>
  <c r="F111" i="1"/>
  <c r="F110" i="1"/>
  <c r="F109" i="1"/>
  <c r="F107" i="1"/>
  <c r="E105" i="1"/>
  <c r="F104" i="1"/>
  <c r="F103" i="1"/>
  <c r="F102" i="1"/>
  <c r="F101" i="1"/>
  <c r="F100" i="1"/>
  <c r="F98" i="1"/>
  <c r="F97" i="1"/>
  <c r="F95" i="1"/>
  <c r="F94" i="1"/>
  <c r="F92" i="1"/>
  <c r="F91" i="1"/>
  <c r="F88" i="1"/>
  <c r="F87" i="1"/>
  <c r="F86" i="1"/>
  <c r="F85" i="1"/>
  <c r="F84" i="1"/>
  <c r="F83" i="1"/>
  <c r="F82" i="1"/>
  <c r="F76" i="1"/>
  <c r="E68" i="1"/>
  <c r="E62" i="1"/>
  <c r="E57" i="1"/>
  <c r="E49" i="1"/>
  <c r="E38" i="1"/>
  <c r="F33" i="1"/>
  <c r="F21" i="1"/>
  <c r="F19" i="1"/>
  <c r="E17" i="1"/>
  <c r="F16" i="1"/>
  <c r="F14" i="1"/>
  <c r="E13" i="1"/>
  <c r="E24" i="1" s="1"/>
  <c r="F12" i="1"/>
  <c r="F11" i="1"/>
  <c r="F10" i="1"/>
  <c r="F9" i="1"/>
  <c r="F8" i="1"/>
  <c r="F7" i="1"/>
  <c r="F6" i="1"/>
  <c r="F5" i="1"/>
  <c r="F4" i="1"/>
  <c r="E79" i="1" l="1"/>
  <c r="E71" i="3"/>
  <c r="E3" i="3" s="1"/>
  <c r="E40" i="4"/>
  <c r="E218" i="1"/>
  <c r="E3" i="1" s="1"/>
  <c r="E101" i="2"/>
  <c r="E4" i="2" s="1"/>
  <c r="E101" i="4"/>
  <c r="E4" i="4" s="1"/>
  <c r="E71" i="4"/>
  <c r="E71" i="2"/>
  <c r="E3" i="2" s="1"/>
  <c r="E71" i="5"/>
  <c r="E3" i="5" s="1"/>
  <c r="E40" i="5"/>
  <c r="E40" i="2"/>
  <c r="E101" i="5"/>
  <c r="E40" i="3"/>
  <c r="E101" i="3"/>
  <c r="E188" i="1"/>
  <c r="E155" i="1"/>
  <c r="E74" i="1"/>
  <c r="F44" i="1" s="1"/>
  <c r="E15" i="1"/>
  <c r="E18" i="1" s="1"/>
  <c r="E2" i="1"/>
  <c r="E25" i="1"/>
  <c r="E112" i="1"/>
  <c r="I41" i="1"/>
  <c r="G106" i="1"/>
  <c r="F106" i="1" s="1"/>
  <c r="G68" i="1"/>
  <c r="G54" i="1"/>
  <c r="G49" i="1" s="1"/>
  <c r="H89" i="4"/>
  <c r="H75" i="5"/>
  <c r="H76" i="5"/>
  <c r="H77" i="5"/>
  <c r="H80" i="5"/>
  <c r="H81" i="5"/>
  <c r="H88" i="5"/>
  <c r="H93" i="5"/>
  <c r="H7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44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30" i="5"/>
  <c r="H32" i="5"/>
  <c r="H13" i="5"/>
  <c r="H5" i="5"/>
  <c r="H6" i="5"/>
  <c r="H7" i="5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9" i="4"/>
  <c r="H61" i="4"/>
  <c r="H62" i="4"/>
  <c r="H63" i="4"/>
  <c r="H64" i="4"/>
  <c r="H65" i="4"/>
  <c r="H74" i="4"/>
  <c r="H75" i="4"/>
  <c r="H77" i="4"/>
  <c r="H78" i="4"/>
  <c r="H79" i="4"/>
  <c r="H80" i="4"/>
  <c r="H81" i="4"/>
  <c r="H82" i="4"/>
  <c r="H83" i="4"/>
  <c r="H84" i="4"/>
  <c r="H85" i="4"/>
  <c r="H86" i="4"/>
  <c r="H87" i="4"/>
  <c r="H91" i="4"/>
  <c r="H95" i="4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74" i="3"/>
  <c r="H75" i="3"/>
  <c r="H76" i="3"/>
  <c r="H77" i="3"/>
  <c r="H78" i="3"/>
  <c r="H79" i="3"/>
  <c r="H80" i="3"/>
  <c r="H81" i="3"/>
  <c r="H82" i="3"/>
  <c r="H83" i="3"/>
  <c r="H85" i="3"/>
  <c r="H86" i="3"/>
  <c r="H87" i="3"/>
  <c r="H88" i="3"/>
  <c r="H89" i="3"/>
  <c r="H90" i="3"/>
  <c r="H91" i="3"/>
  <c r="H92" i="3"/>
  <c r="H93" i="3"/>
  <c r="H94" i="3"/>
  <c r="H95" i="3"/>
  <c r="H45" i="2"/>
  <c r="H46" i="2"/>
  <c r="H47" i="2"/>
  <c r="H48" i="2"/>
  <c r="H51" i="2"/>
  <c r="H56" i="2"/>
  <c r="H57" i="2"/>
  <c r="H58" i="2"/>
  <c r="H60" i="2"/>
  <c r="H61" i="2"/>
  <c r="H62" i="2"/>
  <c r="H63" i="2"/>
  <c r="H64" i="2"/>
  <c r="H65" i="2"/>
  <c r="H74" i="2"/>
  <c r="H75" i="2"/>
  <c r="H76" i="2"/>
  <c r="H78" i="2"/>
  <c r="H79" i="2"/>
  <c r="H81" i="2"/>
  <c r="H86" i="2"/>
  <c r="H87" i="2"/>
  <c r="H88" i="2"/>
  <c r="H90" i="2"/>
  <c r="H91" i="2"/>
  <c r="H92" i="2"/>
  <c r="H93" i="2"/>
  <c r="H94" i="2"/>
  <c r="H44" i="4"/>
  <c r="H44" i="3"/>
  <c r="H44" i="2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8" i="4"/>
  <c r="H30" i="4"/>
  <c r="H31" i="4"/>
  <c r="H33" i="4"/>
  <c r="H34" i="4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14" i="2"/>
  <c r="H15" i="2"/>
  <c r="H16" i="2"/>
  <c r="H17" i="2"/>
  <c r="H20" i="2"/>
  <c r="H25" i="2"/>
  <c r="H26" i="2"/>
  <c r="H27" i="2"/>
  <c r="H28" i="2"/>
  <c r="H29" i="2"/>
  <c r="H30" i="2"/>
  <c r="H31" i="2"/>
  <c r="H32" i="2"/>
  <c r="H33" i="2"/>
  <c r="H13" i="4"/>
  <c r="H13" i="3"/>
  <c r="H13" i="2"/>
  <c r="H5" i="4"/>
  <c r="H6" i="4"/>
  <c r="H7" i="4"/>
  <c r="H5" i="3"/>
  <c r="H6" i="3"/>
  <c r="H7" i="3"/>
  <c r="H5" i="2"/>
  <c r="H6" i="2"/>
  <c r="H7" i="2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161" i="1"/>
  <c r="H15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7" i="1"/>
  <c r="H128" i="1"/>
  <c r="H92" i="1"/>
  <c r="H93" i="1"/>
  <c r="H94" i="1"/>
  <c r="H95" i="1"/>
  <c r="H96" i="1"/>
  <c r="H97" i="1"/>
  <c r="H98" i="1"/>
  <c r="H100" i="1"/>
  <c r="H101" i="1"/>
  <c r="H102" i="1"/>
  <c r="H103" i="1"/>
  <c r="H104" i="1"/>
  <c r="H107" i="1"/>
  <c r="H108" i="1"/>
  <c r="H109" i="1"/>
  <c r="H110" i="1"/>
  <c r="H111" i="1"/>
  <c r="H115" i="1"/>
  <c r="H116" i="1"/>
  <c r="H118" i="1"/>
  <c r="H119" i="1"/>
  <c r="H120" i="1"/>
  <c r="H91" i="1"/>
  <c r="H82" i="1"/>
  <c r="H83" i="1"/>
  <c r="H84" i="1"/>
  <c r="H85" i="1"/>
  <c r="H86" i="1"/>
  <c r="H87" i="1"/>
  <c r="H88" i="1"/>
  <c r="H76" i="1"/>
  <c r="H6" i="1"/>
  <c r="H7" i="1"/>
  <c r="H8" i="1"/>
  <c r="H9" i="1"/>
  <c r="H10" i="1"/>
  <c r="H11" i="1"/>
  <c r="H12" i="1"/>
  <c r="H14" i="1"/>
  <c r="H16" i="1"/>
  <c r="H19" i="1"/>
  <c r="H21" i="1"/>
  <c r="H31" i="1"/>
  <c r="H33" i="1"/>
  <c r="H4" i="1"/>
  <c r="H5" i="1"/>
  <c r="G62" i="1"/>
  <c r="G57" i="1"/>
  <c r="G38" i="1"/>
  <c r="G112" i="1"/>
  <c r="H112" i="1" s="1"/>
  <c r="G105" i="1"/>
  <c r="F105" i="1" s="1"/>
  <c r="G17" i="1"/>
  <c r="F17" i="1" s="1"/>
  <c r="G8" i="2"/>
  <c r="G13" i="1"/>
  <c r="G24" i="1" s="1"/>
  <c r="I100" i="3"/>
  <c r="I99" i="3"/>
  <c r="I98" i="3"/>
  <c r="I97" i="3"/>
  <c r="I96" i="3"/>
  <c r="J95" i="3"/>
  <c r="J94" i="3"/>
  <c r="J93" i="3"/>
  <c r="J92" i="3"/>
  <c r="J91" i="3"/>
  <c r="J90" i="3"/>
  <c r="J89" i="3"/>
  <c r="J88" i="3"/>
  <c r="J87" i="3"/>
  <c r="J86" i="3"/>
  <c r="J84" i="3"/>
  <c r="J83" i="3"/>
  <c r="J82" i="3"/>
  <c r="J81" i="3"/>
  <c r="J80" i="3"/>
  <c r="J79" i="3"/>
  <c r="J78" i="3"/>
  <c r="J77" i="3"/>
  <c r="J76" i="3"/>
  <c r="J75" i="3"/>
  <c r="J74" i="3"/>
  <c r="I70" i="3"/>
  <c r="I69" i="3"/>
  <c r="I68" i="3"/>
  <c r="I67" i="3"/>
  <c r="I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I39" i="3"/>
  <c r="J39" i="3" s="1"/>
  <c r="I38" i="3"/>
  <c r="I37" i="3"/>
  <c r="I36" i="3"/>
  <c r="I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I8" i="3"/>
  <c r="J7" i="3"/>
  <c r="J6" i="3"/>
  <c r="J5" i="3"/>
  <c r="L6" i="3"/>
  <c r="L95" i="3"/>
  <c r="L94" i="3"/>
  <c r="L93" i="3"/>
  <c r="L92" i="3"/>
  <c r="L91" i="3"/>
  <c r="L90" i="3"/>
  <c r="L89" i="3"/>
  <c r="L88" i="3"/>
  <c r="L87" i="3"/>
  <c r="L86" i="3"/>
  <c r="L84" i="3"/>
  <c r="L82" i="3"/>
  <c r="L81" i="3"/>
  <c r="L80" i="3"/>
  <c r="L79" i="3"/>
  <c r="L78" i="3"/>
  <c r="L77" i="3"/>
  <c r="L76" i="3"/>
  <c r="L75" i="3"/>
  <c r="L74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7" i="3"/>
  <c r="L5" i="3"/>
  <c r="K100" i="3"/>
  <c r="K99" i="3"/>
  <c r="K98" i="3"/>
  <c r="K97" i="3"/>
  <c r="K96" i="3"/>
  <c r="J96" i="3" s="1"/>
  <c r="K70" i="3"/>
  <c r="K69" i="3"/>
  <c r="K68" i="3"/>
  <c r="K67" i="3"/>
  <c r="K66" i="3"/>
  <c r="K39" i="3"/>
  <c r="K38" i="3"/>
  <c r="K37" i="3"/>
  <c r="K36" i="3"/>
  <c r="J36" i="3" s="1"/>
  <c r="K35" i="3"/>
  <c r="K8" i="3"/>
  <c r="I54" i="1"/>
  <c r="I49" i="1" s="1"/>
  <c r="I57" i="1"/>
  <c r="I66" i="1"/>
  <c r="I62" i="1" s="1"/>
  <c r="I73" i="1"/>
  <c r="I68" i="1" s="1"/>
  <c r="G100" i="5"/>
  <c r="G99" i="5"/>
  <c r="G98" i="5"/>
  <c r="F98" i="5" s="1"/>
  <c r="G97" i="5"/>
  <c r="F97" i="5" s="1"/>
  <c r="G96" i="5"/>
  <c r="G70" i="5"/>
  <c r="F70" i="5" s="1"/>
  <c r="G69" i="5"/>
  <c r="F69" i="5" s="1"/>
  <c r="G68" i="5"/>
  <c r="F68" i="5" s="1"/>
  <c r="G67" i="5"/>
  <c r="G66" i="5"/>
  <c r="F66" i="5" s="1"/>
  <c r="G39" i="5"/>
  <c r="F39" i="5" s="1"/>
  <c r="G38" i="5"/>
  <c r="F38" i="5" s="1"/>
  <c r="G37" i="5"/>
  <c r="F37" i="5" s="1"/>
  <c r="G36" i="5"/>
  <c r="F36" i="5" s="1"/>
  <c r="G35" i="5"/>
  <c r="F35" i="5" s="1"/>
  <c r="G8" i="5"/>
  <c r="G100" i="4"/>
  <c r="F100" i="4" s="1"/>
  <c r="G99" i="4"/>
  <c r="G98" i="4"/>
  <c r="F98" i="4" s="1"/>
  <c r="G97" i="4"/>
  <c r="F97" i="4" s="1"/>
  <c r="G96" i="4"/>
  <c r="F96" i="4" s="1"/>
  <c r="G70" i="4"/>
  <c r="G69" i="4"/>
  <c r="F69" i="4" s="1"/>
  <c r="G68" i="4"/>
  <c r="F68" i="4" s="1"/>
  <c r="G67" i="4"/>
  <c r="F67" i="4" s="1"/>
  <c r="G66" i="4"/>
  <c r="G39" i="4"/>
  <c r="F39" i="4" s="1"/>
  <c r="G38" i="4"/>
  <c r="F38" i="4" s="1"/>
  <c r="G37" i="4"/>
  <c r="F37" i="4" s="1"/>
  <c r="G36" i="4"/>
  <c r="G35" i="4"/>
  <c r="F35" i="4" s="1"/>
  <c r="G8" i="4"/>
  <c r="G100" i="2"/>
  <c r="F100" i="2" s="1"/>
  <c r="G99" i="2"/>
  <c r="G98" i="2"/>
  <c r="F98" i="2" s="1"/>
  <c r="G97" i="2"/>
  <c r="F97" i="2" s="1"/>
  <c r="G96" i="2"/>
  <c r="F96" i="2" s="1"/>
  <c r="G70" i="2"/>
  <c r="F70" i="2" s="1"/>
  <c r="G69" i="2"/>
  <c r="F69" i="2" s="1"/>
  <c r="G68" i="2"/>
  <c r="F68" i="2" s="1"/>
  <c r="G67" i="2"/>
  <c r="F67" i="2" s="1"/>
  <c r="G66" i="2"/>
  <c r="G39" i="2"/>
  <c r="F39" i="2" s="1"/>
  <c r="G38" i="2"/>
  <c r="F38" i="2" s="1"/>
  <c r="G37" i="2"/>
  <c r="F37" i="2" s="1"/>
  <c r="G36" i="2"/>
  <c r="F36" i="2" s="1"/>
  <c r="G35" i="2"/>
  <c r="F35" i="2" s="1"/>
  <c r="G217" i="1"/>
  <c r="F217" i="1" s="1"/>
  <c r="G216" i="1"/>
  <c r="F216" i="1" s="1"/>
  <c r="G215" i="1"/>
  <c r="F215" i="1" s="1"/>
  <c r="G214" i="1"/>
  <c r="F214" i="1" s="1"/>
  <c r="G213" i="1"/>
  <c r="F213" i="1" s="1"/>
  <c r="G187" i="1"/>
  <c r="G186" i="1"/>
  <c r="F186" i="1" s="1"/>
  <c r="G185" i="1"/>
  <c r="G184" i="1"/>
  <c r="F184" i="1" s="1"/>
  <c r="G183" i="1"/>
  <c r="F183" i="1" s="1"/>
  <c r="G154" i="1"/>
  <c r="F154" i="1" s="1"/>
  <c r="G153" i="1"/>
  <c r="G152" i="1"/>
  <c r="F152" i="1" s="1"/>
  <c r="G151" i="1"/>
  <c r="F151" i="1" s="1"/>
  <c r="G150" i="1"/>
  <c r="F150" i="1" s="1"/>
  <c r="J33" i="1"/>
  <c r="I9" i="5"/>
  <c r="J9" i="5" s="1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30" i="5"/>
  <c r="J32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74" i="5"/>
  <c r="J75" i="5"/>
  <c r="J76" i="5"/>
  <c r="J77" i="5"/>
  <c r="J80" i="5"/>
  <c r="J81" i="5"/>
  <c r="J88" i="5"/>
  <c r="J92" i="5"/>
  <c r="J95" i="5"/>
  <c r="J13" i="5"/>
  <c r="J5" i="5"/>
  <c r="J6" i="5"/>
  <c r="J7" i="5"/>
  <c r="J5" i="4"/>
  <c r="J6" i="4"/>
  <c r="J7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9" i="4"/>
  <c r="J91" i="4"/>
  <c r="J92" i="4"/>
  <c r="J93" i="4"/>
  <c r="J95" i="4"/>
  <c r="J5" i="2"/>
  <c r="J6" i="2"/>
  <c r="J7" i="2"/>
  <c r="J13" i="2"/>
  <c r="J14" i="2"/>
  <c r="J15" i="2"/>
  <c r="J16" i="2"/>
  <c r="J17" i="2"/>
  <c r="J18" i="2"/>
  <c r="J20" i="2"/>
  <c r="J25" i="2"/>
  <c r="J26" i="2"/>
  <c r="J27" i="2"/>
  <c r="J28" i="2"/>
  <c r="J29" i="2"/>
  <c r="J30" i="2"/>
  <c r="J31" i="2"/>
  <c r="J32" i="2"/>
  <c r="J33" i="2"/>
  <c r="J44" i="2"/>
  <c r="J45" i="2"/>
  <c r="J46" i="2"/>
  <c r="J47" i="2"/>
  <c r="J48" i="2"/>
  <c r="J49" i="2"/>
  <c r="J51" i="2"/>
  <c r="J56" i="2"/>
  <c r="J57" i="2"/>
  <c r="J58" i="2"/>
  <c r="J59" i="2"/>
  <c r="J60" i="2"/>
  <c r="J61" i="2"/>
  <c r="J62" i="2"/>
  <c r="J63" i="2"/>
  <c r="J64" i="2"/>
  <c r="J65" i="2"/>
  <c r="J74" i="2"/>
  <c r="J75" i="2"/>
  <c r="J76" i="2"/>
  <c r="J78" i="2"/>
  <c r="J79" i="2"/>
  <c r="J81" i="2"/>
  <c r="J86" i="2"/>
  <c r="J87" i="2"/>
  <c r="J88" i="2"/>
  <c r="J90" i="2"/>
  <c r="J91" i="2"/>
  <c r="J92" i="2"/>
  <c r="J93" i="2"/>
  <c r="J94" i="2"/>
  <c r="I8" i="5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161" i="1"/>
  <c r="J158" i="1"/>
  <c r="J157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28" i="1"/>
  <c r="J82" i="1"/>
  <c r="J84" i="1"/>
  <c r="J85" i="1"/>
  <c r="J86" i="1"/>
  <c r="J87" i="1"/>
  <c r="J88" i="1"/>
  <c r="J91" i="1"/>
  <c r="J92" i="1"/>
  <c r="J93" i="1"/>
  <c r="J94" i="1"/>
  <c r="J95" i="1"/>
  <c r="J96" i="1"/>
  <c r="J97" i="1"/>
  <c r="J98" i="1"/>
  <c r="J100" i="1"/>
  <c r="J101" i="1"/>
  <c r="J102" i="1"/>
  <c r="J103" i="1"/>
  <c r="J104" i="1"/>
  <c r="J106" i="1"/>
  <c r="J108" i="1"/>
  <c r="J109" i="1"/>
  <c r="J110" i="1"/>
  <c r="J111" i="1"/>
  <c r="J115" i="1"/>
  <c r="J118" i="1"/>
  <c r="J119" i="1"/>
  <c r="J120" i="1"/>
  <c r="J76" i="1"/>
  <c r="J31" i="1"/>
  <c r="J14" i="1"/>
  <c r="J19" i="1"/>
  <c r="J21" i="1"/>
  <c r="J5" i="1"/>
  <c r="J6" i="1"/>
  <c r="J7" i="1"/>
  <c r="J8" i="1"/>
  <c r="J9" i="1"/>
  <c r="J10" i="1"/>
  <c r="J11" i="1"/>
  <c r="J12" i="1"/>
  <c r="J4" i="1"/>
  <c r="I150" i="1"/>
  <c r="I35" i="2"/>
  <c r="L80" i="5"/>
  <c r="L81" i="5"/>
  <c r="L86" i="5"/>
  <c r="L88" i="5"/>
  <c r="L92" i="5"/>
  <c r="L93" i="5"/>
  <c r="M13" i="1"/>
  <c r="M24" i="1" s="1"/>
  <c r="M25" i="1" s="1"/>
  <c r="M16" i="1"/>
  <c r="M17" i="1" s="1"/>
  <c r="M38" i="1"/>
  <c r="M49" i="1"/>
  <c r="M57" i="1"/>
  <c r="M62" i="1"/>
  <c r="M68" i="1"/>
  <c r="M105" i="1"/>
  <c r="M112" i="1"/>
  <c r="M125" i="1"/>
  <c r="M150" i="1"/>
  <c r="M151" i="1"/>
  <c r="M152" i="1"/>
  <c r="M153" i="1"/>
  <c r="M154" i="1"/>
  <c r="M183" i="1"/>
  <c r="M184" i="1"/>
  <c r="M185" i="1"/>
  <c r="M186" i="1"/>
  <c r="M187" i="1"/>
  <c r="M213" i="1"/>
  <c r="M214" i="1"/>
  <c r="M215" i="1"/>
  <c r="M216" i="1"/>
  <c r="M217" i="1"/>
  <c r="L75" i="5"/>
  <c r="L76" i="5"/>
  <c r="L77" i="5"/>
  <c r="L7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44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30" i="5"/>
  <c r="L32" i="5"/>
  <c r="L13" i="5"/>
  <c r="L9" i="5"/>
  <c r="L5" i="5"/>
  <c r="L6" i="5"/>
  <c r="L7" i="5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9" i="4"/>
  <c r="L91" i="4"/>
  <c r="L92" i="4"/>
  <c r="L93" i="4"/>
  <c r="L94" i="4"/>
  <c r="L95" i="4"/>
  <c r="L7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44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13" i="4"/>
  <c r="L7" i="4"/>
  <c r="L6" i="4"/>
  <c r="L5" i="4"/>
  <c r="L75" i="2"/>
  <c r="L76" i="2"/>
  <c r="L77" i="2"/>
  <c r="L79" i="2"/>
  <c r="L81" i="2"/>
  <c r="L86" i="2"/>
  <c r="L87" i="2"/>
  <c r="L88" i="2"/>
  <c r="L90" i="2"/>
  <c r="L91" i="2"/>
  <c r="L92" i="2"/>
  <c r="L93" i="2"/>
  <c r="L94" i="2"/>
  <c r="L74" i="2"/>
  <c r="L45" i="2"/>
  <c r="L46" i="2"/>
  <c r="L47" i="2"/>
  <c r="L48" i="2"/>
  <c r="L49" i="2"/>
  <c r="L50" i="2"/>
  <c r="L51" i="2"/>
  <c r="L52" i="2"/>
  <c r="L56" i="2"/>
  <c r="L57" i="2"/>
  <c r="L58" i="2"/>
  <c r="L59" i="2"/>
  <c r="L60" i="2"/>
  <c r="L61" i="2"/>
  <c r="L62" i="2"/>
  <c r="L63" i="2"/>
  <c r="L64" i="2"/>
  <c r="L65" i="2"/>
  <c r="L44" i="2"/>
  <c r="L14" i="2"/>
  <c r="L15" i="2"/>
  <c r="L16" i="2"/>
  <c r="L17" i="2"/>
  <c r="L18" i="2"/>
  <c r="L20" i="2"/>
  <c r="L25" i="2"/>
  <c r="L26" i="2"/>
  <c r="L27" i="2"/>
  <c r="L28" i="2"/>
  <c r="L29" i="2"/>
  <c r="L30" i="2"/>
  <c r="L31" i="2"/>
  <c r="L32" i="2"/>
  <c r="L33" i="2"/>
  <c r="L34" i="2"/>
  <c r="L13" i="2"/>
  <c r="L5" i="2"/>
  <c r="L6" i="2"/>
  <c r="L7" i="2"/>
  <c r="K100" i="5"/>
  <c r="K99" i="5"/>
  <c r="K98" i="5"/>
  <c r="K97" i="5"/>
  <c r="K96" i="5"/>
  <c r="K66" i="5"/>
  <c r="K70" i="5"/>
  <c r="K69" i="5"/>
  <c r="K68" i="5"/>
  <c r="L68" i="5" s="1"/>
  <c r="K67" i="5"/>
  <c r="L67" i="5" s="1"/>
  <c r="K39" i="5"/>
  <c r="K38" i="5"/>
  <c r="K37" i="5"/>
  <c r="L37" i="5" s="1"/>
  <c r="K36" i="5"/>
  <c r="K35" i="5"/>
  <c r="K8" i="5"/>
  <c r="K100" i="4"/>
  <c r="L100" i="4" s="1"/>
  <c r="K99" i="4"/>
  <c r="K98" i="4"/>
  <c r="K97" i="4"/>
  <c r="K96" i="4"/>
  <c r="K70" i="4"/>
  <c r="K69" i="4"/>
  <c r="K68" i="4"/>
  <c r="K67" i="4"/>
  <c r="L67" i="4" s="1"/>
  <c r="K66" i="4"/>
  <c r="K39" i="4"/>
  <c r="K38" i="4"/>
  <c r="K37" i="4"/>
  <c r="L37" i="4" s="1"/>
  <c r="K36" i="4"/>
  <c r="K35" i="4"/>
  <c r="M35" i="4"/>
  <c r="K8" i="4"/>
  <c r="K100" i="2"/>
  <c r="K99" i="2"/>
  <c r="K98" i="2"/>
  <c r="K97" i="2"/>
  <c r="K96" i="2"/>
  <c r="K70" i="2"/>
  <c r="K69" i="2"/>
  <c r="K68" i="2"/>
  <c r="K67" i="2"/>
  <c r="K66" i="2"/>
  <c r="K39" i="2"/>
  <c r="K38" i="2"/>
  <c r="K37" i="2"/>
  <c r="K36" i="2"/>
  <c r="K35" i="2"/>
  <c r="K8" i="2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191" i="1"/>
  <c r="K217" i="1"/>
  <c r="K216" i="1"/>
  <c r="K215" i="1"/>
  <c r="L215" i="1" s="1"/>
  <c r="K214" i="1"/>
  <c r="K213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61" i="1"/>
  <c r="K187" i="1"/>
  <c r="L187" i="1" s="1"/>
  <c r="K186" i="1"/>
  <c r="K185" i="1"/>
  <c r="L185" i="1" s="1"/>
  <c r="K184" i="1"/>
  <c r="K183" i="1"/>
  <c r="L157" i="1"/>
  <c r="L15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28" i="1"/>
  <c r="K154" i="1"/>
  <c r="K153" i="1"/>
  <c r="L153" i="1" s="1"/>
  <c r="K152" i="1"/>
  <c r="K151" i="1"/>
  <c r="L151" i="1" s="1"/>
  <c r="K150" i="1"/>
  <c r="J150" i="1" s="1"/>
  <c r="L82" i="1"/>
  <c r="L84" i="1"/>
  <c r="L85" i="1"/>
  <c r="L86" i="1"/>
  <c r="L87" i="1"/>
  <c r="L88" i="1"/>
  <c r="L91" i="1"/>
  <c r="L92" i="1"/>
  <c r="L93" i="1"/>
  <c r="L94" i="1"/>
  <c r="L95" i="1"/>
  <c r="L96" i="1"/>
  <c r="L97" i="1"/>
  <c r="L98" i="1"/>
  <c r="L100" i="1"/>
  <c r="L101" i="1"/>
  <c r="L103" i="1"/>
  <c r="L104" i="1"/>
  <c r="L106" i="1"/>
  <c r="L107" i="1"/>
  <c r="L108" i="1"/>
  <c r="L109" i="1"/>
  <c r="L110" i="1"/>
  <c r="L111" i="1"/>
  <c r="L115" i="1"/>
  <c r="L116" i="1"/>
  <c r="L118" i="1"/>
  <c r="L119" i="1"/>
  <c r="L120" i="1"/>
  <c r="K125" i="1"/>
  <c r="K112" i="1"/>
  <c r="K105" i="1"/>
  <c r="L105" i="1" s="1"/>
  <c r="L76" i="1"/>
  <c r="K68" i="1"/>
  <c r="K79" i="1" s="1"/>
  <c r="K62" i="1"/>
  <c r="K57" i="1"/>
  <c r="K49" i="1"/>
  <c r="K38" i="1"/>
  <c r="L31" i="1"/>
  <c r="L33" i="1"/>
  <c r="L4" i="1"/>
  <c r="L5" i="1"/>
  <c r="L6" i="1"/>
  <c r="L7" i="1"/>
  <c r="L8" i="1"/>
  <c r="L9" i="1"/>
  <c r="L10" i="1"/>
  <c r="L11" i="1"/>
  <c r="L12" i="1"/>
  <c r="L14" i="1"/>
  <c r="L19" i="1"/>
  <c r="L21" i="1"/>
  <c r="K16" i="1"/>
  <c r="L16" i="1" s="1"/>
  <c r="K13" i="1"/>
  <c r="L13" i="1" s="1"/>
  <c r="I125" i="1"/>
  <c r="G8" i="3"/>
  <c r="I8" i="4"/>
  <c r="I8" i="2"/>
  <c r="I70" i="2"/>
  <c r="J70" i="2" s="1"/>
  <c r="I69" i="2"/>
  <c r="I68" i="2"/>
  <c r="J68" i="2" s="1"/>
  <c r="I67" i="2"/>
  <c r="I66" i="2"/>
  <c r="I39" i="5"/>
  <c r="I38" i="5"/>
  <c r="H38" i="5" s="1"/>
  <c r="I37" i="5"/>
  <c r="I36" i="5"/>
  <c r="I35" i="5"/>
  <c r="G39" i="3"/>
  <c r="G38" i="3"/>
  <c r="G37" i="3"/>
  <c r="F37" i="3" s="1"/>
  <c r="G36" i="3"/>
  <c r="H36" i="3" s="1"/>
  <c r="G35" i="3"/>
  <c r="I39" i="4"/>
  <c r="I38" i="4"/>
  <c r="H38" i="4" s="1"/>
  <c r="I37" i="4"/>
  <c r="I36" i="4"/>
  <c r="I35" i="4"/>
  <c r="I39" i="2"/>
  <c r="I38" i="2"/>
  <c r="H38" i="2" s="1"/>
  <c r="I37" i="2"/>
  <c r="I36" i="2"/>
  <c r="I70" i="5"/>
  <c r="I69" i="5"/>
  <c r="H69" i="5" s="1"/>
  <c r="I68" i="5"/>
  <c r="I67" i="5"/>
  <c r="I66" i="5"/>
  <c r="G70" i="3"/>
  <c r="G69" i="3"/>
  <c r="G68" i="3"/>
  <c r="F68" i="3" s="1"/>
  <c r="G67" i="3"/>
  <c r="G66" i="3"/>
  <c r="F66" i="3" s="1"/>
  <c r="I70" i="4"/>
  <c r="I69" i="4"/>
  <c r="J69" i="4" s="1"/>
  <c r="I68" i="4"/>
  <c r="H68" i="4" s="1"/>
  <c r="I67" i="4"/>
  <c r="H67" i="4" s="1"/>
  <c r="I66" i="4"/>
  <c r="I100" i="5"/>
  <c r="I99" i="5"/>
  <c r="I98" i="5"/>
  <c r="I97" i="5"/>
  <c r="I96" i="5"/>
  <c r="G100" i="3"/>
  <c r="H100" i="3" s="1"/>
  <c r="G99" i="3"/>
  <c r="H99" i="3" s="1"/>
  <c r="G98" i="3"/>
  <c r="F98" i="3" s="1"/>
  <c r="G97" i="3"/>
  <c r="F97" i="3" s="1"/>
  <c r="G96" i="3"/>
  <c r="H96" i="3" s="1"/>
  <c r="I100" i="4"/>
  <c r="J100" i="4" s="1"/>
  <c r="I99" i="4"/>
  <c r="I98" i="4"/>
  <c r="J98" i="4" s="1"/>
  <c r="I97" i="4"/>
  <c r="I96" i="4"/>
  <c r="H96" i="4" s="1"/>
  <c r="I96" i="2"/>
  <c r="H96" i="2" s="1"/>
  <c r="I100" i="2"/>
  <c r="H100" i="2" s="1"/>
  <c r="I99" i="2"/>
  <c r="J99" i="2" s="1"/>
  <c r="I98" i="2"/>
  <c r="J98" i="2" s="1"/>
  <c r="I97" i="2"/>
  <c r="H97" i="2" s="1"/>
  <c r="M100" i="5"/>
  <c r="M99" i="5"/>
  <c r="M98" i="5"/>
  <c r="M97" i="5"/>
  <c r="M96" i="5"/>
  <c r="M70" i="5"/>
  <c r="L70" i="5" s="1"/>
  <c r="M69" i="5"/>
  <c r="M68" i="5"/>
  <c r="M67" i="5"/>
  <c r="M66" i="5"/>
  <c r="M39" i="5"/>
  <c r="M38" i="5"/>
  <c r="M37" i="5"/>
  <c r="M36" i="5"/>
  <c r="M35" i="5"/>
  <c r="M8" i="5"/>
  <c r="M100" i="3"/>
  <c r="M99" i="3"/>
  <c r="L99" i="3" s="1"/>
  <c r="M98" i="3"/>
  <c r="M97" i="3"/>
  <c r="M96" i="3"/>
  <c r="M70" i="3"/>
  <c r="M69" i="3"/>
  <c r="M68" i="3"/>
  <c r="M67" i="3"/>
  <c r="M66" i="3"/>
  <c r="M39" i="3"/>
  <c r="L39" i="3" s="1"/>
  <c r="M38" i="3"/>
  <c r="M37" i="3"/>
  <c r="M36" i="3"/>
  <c r="M35" i="3"/>
  <c r="L35" i="3" s="1"/>
  <c r="M8" i="3"/>
  <c r="M100" i="4"/>
  <c r="M99" i="4"/>
  <c r="M98" i="4"/>
  <c r="L98" i="4" s="1"/>
  <c r="M97" i="4"/>
  <c r="M96" i="4"/>
  <c r="M70" i="4"/>
  <c r="M69" i="4"/>
  <c r="L69" i="4" s="1"/>
  <c r="M68" i="4"/>
  <c r="M67" i="4"/>
  <c r="M66" i="4"/>
  <c r="M39" i="4"/>
  <c r="L39" i="4" s="1"/>
  <c r="M38" i="4"/>
  <c r="M37" i="4"/>
  <c r="M36" i="4"/>
  <c r="M8" i="4"/>
  <c r="M100" i="2"/>
  <c r="M99" i="2"/>
  <c r="L99" i="2" s="1"/>
  <c r="M98" i="2"/>
  <c r="M97" i="2"/>
  <c r="M96" i="2"/>
  <c r="M70" i="2"/>
  <c r="M69" i="2"/>
  <c r="M68" i="2"/>
  <c r="M67" i="2"/>
  <c r="M66" i="2"/>
  <c r="L66" i="2" s="1"/>
  <c r="M39" i="2"/>
  <c r="L39" i="2" s="1"/>
  <c r="M38" i="2"/>
  <c r="M37" i="2"/>
  <c r="M36" i="2"/>
  <c r="M35" i="2"/>
  <c r="M8" i="2"/>
  <c r="I215" i="1"/>
  <c r="J215" i="1" s="1"/>
  <c r="I185" i="1"/>
  <c r="J185" i="1" s="1"/>
  <c r="I152" i="1"/>
  <c r="I153" i="1"/>
  <c r="I217" i="1"/>
  <c r="I216" i="1"/>
  <c r="J216" i="1" s="1"/>
  <c r="I214" i="1"/>
  <c r="I213" i="1"/>
  <c r="H213" i="1" s="1"/>
  <c r="I187" i="1"/>
  <c r="I186" i="1"/>
  <c r="I184" i="1"/>
  <c r="I183" i="1"/>
  <c r="I154" i="1"/>
  <c r="I151" i="1"/>
  <c r="I112" i="1"/>
  <c r="I105" i="1"/>
  <c r="I17" i="1"/>
  <c r="I13" i="1"/>
  <c r="I24" i="1" s="1"/>
  <c r="J38" i="2"/>
  <c r="J68" i="4"/>
  <c r="L100" i="2"/>
  <c r="H97" i="5"/>
  <c r="H37" i="3"/>
  <c r="H37" i="2"/>
  <c r="H35" i="4"/>
  <c r="H186" i="1"/>
  <c r="L70" i="2"/>
  <c r="J68" i="3"/>
  <c r="L36" i="2"/>
  <c r="M15" i="1"/>
  <c r="L96" i="2"/>
  <c r="I40" i="5"/>
  <c r="J100" i="3"/>
  <c r="L150" i="1" l="1"/>
  <c r="F68" i="1"/>
  <c r="J151" i="1"/>
  <c r="J154" i="1"/>
  <c r="L36" i="3"/>
  <c r="H67" i="3"/>
  <c r="J35" i="3"/>
  <c r="J67" i="3"/>
  <c r="H97" i="3"/>
  <c r="H35" i="3"/>
  <c r="H39" i="3"/>
  <c r="L68" i="3"/>
  <c r="J70" i="3"/>
  <c r="H98" i="3"/>
  <c r="J97" i="4"/>
  <c r="J37" i="4"/>
  <c r="L36" i="4"/>
  <c r="J66" i="4"/>
  <c r="J70" i="4"/>
  <c r="J99" i="4"/>
  <c r="H66" i="4"/>
  <c r="H70" i="4"/>
  <c r="J37" i="2"/>
  <c r="M40" i="2"/>
  <c r="J66" i="2"/>
  <c r="H215" i="1"/>
  <c r="J184" i="1"/>
  <c r="L154" i="1"/>
  <c r="G71" i="2"/>
  <c r="F71" i="2" s="1"/>
  <c r="G101" i="2"/>
  <c r="F101" i="2" s="1"/>
  <c r="F35" i="3"/>
  <c r="L100" i="3"/>
  <c r="H39" i="4"/>
  <c r="L186" i="1"/>
  <c r="H187" i="1"/>
  <c r="J69" i="3"/>
  <c r="H106" i="1"/>
  <c r="F67" i="3"/>
  <c r="H125" i="1"/>
  <c r="F125" i="1"/>
  <c r="J36" i="4"/>
  <c r="H68" i="2"/>
  <c r="L70" i="4"/>
  <c r="L36" i="5"/>
  <c r="L66" i="5"/>
  <c r="L99" i="5"/>
  <c r="J99" i="5"/>
  <c r="J66" i="5"/>
  <c r="H35" i="5"/>
  <c r="H39" i="5"/>
  <c r="H69" i="2"/>
  <c r="K40" i="2"/>
  <c r="L40" i="2" s="1"/>
  <c r="L68" i="2"/>
  <c r="L97" i="2"/>
  <c r="J96" i="4"/>
  <c r="M74" i="1"/>
  <c r="H35" i="2"/>
  <c r="G40" i="4"/>
  <c r="G101" i="4"/>
  <c r="F101" i="4" s="1"/>
  <c r="J97" i="3"/>
  <c r="G101" i="3"/>
  <c r="G4" i="3" s="1"/>
  <c r="H39" i="2"/>
  <c r="H150" i="1"/>
  <c r="H37" i="4"/>
  <c r="H154" i="1"/>
  <c r="H36" i="5"/>
  <c r="L67" i="3"/>
  <c r="M101" i="3"/>
  <c r="M4" i="3" s="1"/>
  <c r="I40" i="2"/>
  <c r="G71" i="4"/>
  <c r="G3" i="4" s="1"/>
  <c r="H98" i="4"/>
  <c r="H98" i="5"/>
  <c r="J105" i="1"/>
  <c r="J153" i="1"/>
  <c r="L37" i="2"/>
  <c r="L67" i="2"/>
  <c r="L38" i="4"/>
  <c r="L97" i="4"/>
  <c r="L38" i="3"/>
  <c r="J97" i="2"/>
  <c r="H69" i="3"/>
  <c r="G40" i="3"/>
  <c r="J67" i="2"/>
  <c r="J125" i="1"/>
  <c r="J112" i="1"/>
  <c r="J187" i="1"/>
  <c r="L216" i="1"/>
  <c r="M79" i="1"/>
  <c r="L37" i="3"/>
  <c r="L66" i="3"/>
  <c r="J99" i="3"/>
  <c r="J37" i="5"/>
  <c r="J39" i="5"/>
  <c r="J36" i="5"/>
  <c r="J67" i="5"/>
  <c r="K71" i="5"/>
  <c r="K3" i="5" s="1"/>
  <c r="L100" i="5"/>
  <c r="H96" i="5"/>
  <c r="L96" i="5"/>
  <c r="H67" i="5"/>
  <c r="H37" i="5"/>
  <c r="J68" i="5"/>
  <c r="J35" i="5"/>
  <c r="L39" i="5"/>
  <c r="L98" i="5"/>
  <c r="F39" i="1"/>
  <c r="F47" i="1"/>
  <c r="F55" i="1"/>
  <c r="F63" i="1"/>
  <c r="F71" i="1"/>
  <c r="F64" i="1"/>
  <c r="F72" i="1"/>
  <c r="F65" i="1"/>
  <c r="F50" i="1"/>
  <c r="F74" i="1"/>
  <c r="F59" i="1"/>
  <c r="F40" i="1"/>
  <c r="F48" i="1"/>
  <c r="F56" i="1"/>
  <c r="F73" i="1"/>
  <c r="F58" i="1"/>
  <c r="F43" i="1"/>
  <c r="F38" i="1"/>
  <c r="F53" i="1"/>
  <c r="F46" i="1"/>
  <c r="F41" i="1"/>
  <c r="F49" i="1"/>
  <c r="F57" i="1"/>
  <c r="F66" i="1"/>
  <c r="F51" i="1"/>
  <c r="F67" i="1"/>
  <c r="F52" i="1"/>
  <c r="F61" i="1"/>
  <c r="F70" i="1"/>
  <c r="F42" i="1"/>
  <c r="F60" i="1"/>
  <c r="F45" i="1"/>
  <c r="F69" i="1"/>
  <c r="F54" i="1"/>
  <c r="F62" i="1"/>
  <c r="G74" i="1"/>
  <c r="J66" i="3"/>
  <c r="I101" i="3"/>
  <c r="I4" i="3" s="1"/>
  <c r="H4" i="3" s="1"/>
  <c r="M71" i="3"/>
  <c r="M3" i="3" s="1"/>
  <c r="H70" i="3"/>
  <c r="L70" i="3"/>
  <c r="L98" i="3"/>
  <c r="F38" i="3"/>
  <c r="F100" i="3"/>
  <c r="F99" i="3"/>
  <c r="K40" i="3"/>
  <c r="K41" i="3" s="1"/>
  <c r="J37" i="3"/>
  <c r="H66" i="3"/>
  <c r="L69" i="3"/>
  <c r="H68" i="3"/>
  <c r="F39" i="3"/>
  <c r="F96" i="3"/>
  <c r="F69" i="3"/>
  <c r="H38" i="3"/>
  <c r="H101" i="3"/>
  <c r="L97" i="3"/>
  <c r="F36" i="3"/>
  <c r="F70" i="3"/>
  <c r="F36" i="4"/>
  <c r="F70" i="4"/>
  <c r="H97" i="4"/>
  <c r="L96" i="4"/>
  <c r="I40" i="4"/>
  <c r="L35" i="4"/>
  <c r="K40" i="4"/>
  <c r="K71" i="4"/>
  <c r="K101" i="4"/>
  <c r="K4" i="4" s="1"/>
  <c r="J67" i="4"/>
  <c r="M71" i="4"/>
  <c r="M3" i="4" s="1"/>
  <c r="M101" i="4"/>
  <c r="M4" i="4" s="1"/>
  <c r="F66" i="4"/>
  <c r="F99" i="4"/>
  <c r="I101" i="4"/>
  <c r="H100" i="4"/>
  <c r="H36" i="4"/>
  <c r="F71" i="4"/>
  <c r="F99" i="2"/>
  <c r="L35" i="2"/>
  <c r="J39" i="2"/>
  <c r="L69" i="2"/>
  <c r="L98" i="2"/>
  <c r="J35" i="2"/>
  <c r="L38" i="2"/>
  <c r="H70" i="2"/>
  <c r="F66" i="2"/>
  <c r="H36" i="2"/>
  <c r="J100" i="2"/>
  <c r="H99" i="2"/>
  <c r="F24" i="1"/>
  <c r="G25" i="1"/>
  <c r="M188" i="1"/>
  <c r="M2" i="1" s="1"/>
  <c r="M9" i="4" s="1"/>
  <c r="F112" i="1"/>
  <c r="F13" i="1"/>
  <c r="F187" i="1"/>
  <c r="I15" i="1"/>
  <c r="I26" i="1" s="1"/>
  <c r="I27" i="1" s="1"/>
  <c r="H216" i="1"/>
  <c r="E41" i="4"/>
  <c r="L214" i="1"/>
  <c r="G155" i="1"/>
  <c r="F155" i="1" s="1"/>
  <c r="H185" i="1"/>
  <c r="F153" i="1"/>
  <c r="F185" i="1"/>
  <c r="G15" i="1"/>
  <c r="H183" i="1"/>
  <c r="J16" i="1"/>
  <c r="H153" i="1"/>
  <c r="H151" i="1"/>
  <c r="L184" i="1"/>
  <c r="E121" i="1"/>
  <c r="F67" i="5"/>
  <c r="F96" i="5"/>
  <c r="M101" i="5"/>
  <c r="M4" i="5" s="1"/>
  <c r="I101" i="5"/>
  <c r="I4" i="5" s="1"/>
  <c r="J70" i="5"/>
  <c r="J98" i="5"/>
  <c r="L35" i="5"/>
  <c r="H68" i="5"/>
  <c r="K40" i="5"/>
  <c r="J40" i="5" s="1"/>
  <c r="H100" i="5"/>
  <c r="I71" i="5"/>
  <c r="L38" i="5"/>
  <c r="J69" i="5"/>
  <c r="J97" i="5"/>
  <c r="G40" i="5"/>
  <c r="H40" i="5" s="1"/>
  <c r="H66" i="5"/>
  <c r="H70" i="5"/>
  <c r="G101" i="5"/>
  <c r="F40" i="4"/>
  <c r="E3" i="4"/>
  <c r="E9" i="4" s="1"/>
  <c r="E9" i="2"/>
  <c r="E41" i="5"/>
  <c r="E10" i="2"/>
  <c r="E10" i="4"/>
  <c r="F101" i="3"/>
  <c r="E4" i="3"/>
  <c r="F3" i="4"/>
  <c r="E4" i="5"/>
  <c r="E41" i="3"/>
  <c r="F40" i="3"/>
  <c r="E41" i="2"/>
  <c r="E9" i="3"/>
  <c r="J40" i="4"/>
  <c r="K3" i="4"/>
  <c r="L3" i="4" s="1"/>
  <c r="G3" i="2"/>
  <c r="F3" i="2" s="1"/>
  <c r="G4" i="2"/>
  <c r="F4" i="2" s="1"/>
  <c r="H40" i="4"/>
  <c r="G71" i="5"/>
  <c r="F71" i="5" s="1"/>
  <c r="M40" i="4"/>
  <c r="L40" i="4" s="1"/>
  <c r="M71" i="2"/>
  <c r="M3" i="2" s="1"/>
  <c r="I101" i="2"/>
  <c r="K101" i="2"/>
  <c r="K101" i="3"/>
  <c r="L99" i="4"/>
  <c r="K71" i="2"/>
  <c r="J38" i="5"/>
  <c r="M71" i="5"/>
  <c r="M40" i="5"/>
  <c r="K101" i="5"/>
  <c r="J39" i="4"/>
  <c r="G40" i="2"/>
  <c r="H40" i="2" s="1"/>
  <c r="H98" i="2"/>
  <c r="J96" i="2"/>
  <c r="H99" i="4"/>
  <c r="L68" i="4"/>
  <c r="H9" i="5"/>
  <c r="M40" i="3"/>
  <c r="L40" i="3" s="1"/>
  <c r="H66" i="2"/>
  <c r="L97" i="5"/>
  <c r="J35" i="4"/>
  <c r="J98" i="3"/>
  <c r="J100" i="5"/>
  <c r="H99" i="5"/>
  <c r="I40" i="3"/>
  <c r="J40" i="3" s="1"/>
  <c r="K71" i="3"/>
  <c r="I71" i="4"/>
  <c r="H71" i="4" s="1"/>
  <c r="I4" i="4"/>
  <c r="J96" i="5"/>
  <c r="G71" i="3"/>
  <c r="F71" i="3" s="1"/>
  <c r="L66" i="4"/>
  <c r="I71" i="3"/>
  <c r="J38" i="4"/>
  <c r="J69" i="2"/>
  <c r="J36" i="2"/>
  <c r="H69" i="4"/>
  <c r="M101" i="2"/>
  <c r="M4" i="2" s="1"/>
  <c r="L69" i="5"/>
  <c r="J38" i="3"/>
  <c r="I71" i="2"/>
  <c r="H71" i="2" s="1"/>
  <c r="L96" i="3"/>
  <c r="H67" i="2"/>
  <c r="E77" i="1"/>
  <c r="E26" i="1"/>
  <c r="E20" i="1"/>
  <c r="I79" i="1"/>
  <c r="M18" i="1"/>
  <c r="M121" i="1" s="1"/>
  <c r="M155" i="1"/>
  <c r="M41" i="2" s="1"/>
  <c r="L112" i="1"/>
  <c r="H105" i="1"/>
  <c r="K17" i="1"/>
  <c r="L17" i="1" s="1"/>
  <c r="M26" i="1"/>
  <c r="M27" i="1" s="1"/>
  <c r="H13" i="1"/>
  <c r="K74" i="1"/>
  <c r="L67" i="1" s="1"/>
  <c r="L125" i="1"/>
  <c r="K155" i="1"/>
  <c r="L155" i="1" s="1"/>
  <c r="G218" i="1"/>
  <c r="G3" i="1" s="1"/>
  <c r="H217" i="1"/>
  <c r="J214" i="1"/>
  <c r="H214" i="1"/>
  <c r="I218" i="1"/>
  <c r="J213" i="1"/>
  <c r="K218" i="1"/>
  <c r="L213" i="1"/>
  <c r="M218" i="1"/>
  <c r="M3" i="1" s="1"/>
  <c r="I38" i="1"/>
  <c r="I25" i="1"/>
  <c r="H24" i="1"/>
  <c r="J186" i="1"/>
  <c r="I188" i="1"/>
  <c r="J183" i="1"/>
  <c r="L183" i="1"/>
  <c r="I74" i="1"/>
  <c r="J152" i="1"/>
  <c r="I155" i="1"/>
  <c r="H155" i="1" s="1"/>
  <c r="L217" i="1"/>
  <c r="J217" i="1"/>
  <c r="G10" i="3"/>
  <c r="H17" i="1"/>
  <c r="K15" i="1"/>
  <c r="K24" i="1"/>
  <c r="J13" i="1"/>
  <c r="L56" i="1"/>
  <c r="K41" i="2"/>
  <c r="H152" i="1"/>
  <c r="G188" i="1"/>
  <c r="F188" i="1" s="1"/>
  <c r="H184" i="1"/>
  <c r="G79" i="1"/>
  <c r="G41" i="3"/>
  <c r="K188" i="1"/>
  <c r="L58" i="1"/>
  <c r="L152" i="1"/>
  <c r="G41" i="4" l="1"/>
  <c r="G41" i="5"/>
  <c r="L71" i="4"/>
  <c r="H101" i="2"/>
  <c r="L51" i="1"/>
  <c r="M9" i="3"/>
  <c r="M20" i="1"/>
  <c r="M41" i="4"/>
  <c r="K41" i="4"/>
  <c r="H101" i="4"/>
  <c r="J40" i="2"/>
  <c r="J4" i="4"/>
  <c r="G41" i="2"/>
  <c r="M41" i="5"/>
  <c r="L40" i="5"/>
  <c r="M9" i="2"/>
  <c r="G4" i="4"/>
  <c r="G10" i="4" s="1"/>
  <c r="F40" i="2"/>
  <c r="J101" i="4"/>
  <c r="H101" i="5"/>
  <c r="F40" i="5"/>
  <c r="E27" i="1"/>
  <c r="L70" i="1"/>
  <c r="L44" i="1"/>
  <c r="L65" i="1"/>
  <c r="L46" i="1"/>
  <c r="L48" i="1"/>
  <c r="L57" i="1"/>
  <c r="L52" i="1"/>
  <c r="J65" i="1"/>
  <c r="J46" i="1"/>
  <c r="H65" i="1"/>
  <c r="H46" i="1"/>
  <c r="H49" i="1"/>
  <c r="L101" i="4"/>
  <c r="L4" i="4"/>
  <c r="E81" i="1"/>
  <c r="E89" i="1" s="1"/>
  <c r="F3" i="1"/>
  <c r="H218" i="1"/>
  <c r="G10" i="2"/>
  <c r="F218" i="1"/>
  <c r="I18" i="1"/>
  <c r="G18" i="1"/>
  <c r="H15" i="1"/>
  <c r="G26" i="1"/>
  <c r="F15" i="1"/>
  <c r="K41" i="5"/>
  <c r="G4" i="5"/>
  <c r="H4" i="5" s="1"/>
  <c r="F101" i="5"/>
  <c r="J71" i="5"/>
  <c r="I3" i="5"/>
  <c r="J3" i="5" s="1"/>
  <c r="E10" i="3"/>
  <c r="F4" i="3"/>
  <c r="L101" i="5"/>
  <c r="K4" i="5"/>
  <c r="L4" i="5" s="1"/>
  <c r="J71" i="3"/>
  <c r="I3" i="3"/>
  <c r="H40" i="3"/>
  <c r="I3" i="4"/>
  <c r="J71" i="4"/>
  <c r="L71" i="5"/>
  <c r="M3" i="5"/>
  <c r="L3" i="5" s="1"/>
  <c r="L101" i="3"/>
  <c r="K4" i="3"/>
  <c r="J101" i="3"/>
  <c r="K3" i="2"/>
  <c r="L3" i="2" s="1"/>
  <c r="L71" i="2"/>
  <c r="I4" i="2"/>
  <c r="J101" i="2"/>
  <c r="J101" i="5"/>
  <c r="M41" i="3"/>
  <c r="I3" i="2"/>
  <c r="J3" i="2" s="1"/>
  <c r="J71" i="2"/>
  <c r="H71" i="3"/>
  <c r="G3" i="3"/>
  <c r="F3" i="3" s="1"/>
  <c r="L71" i="3"/>
  <c r="K3" i="3"/>
  <c r="L101" i="2"/>
  <c r="K4" i="2"/>
  <c r="L4" i="2" s="1"/>
  <c r="H71" i="5"/>
  <c r="G3" i="5"/>
  <c r="E22" i="1"/>
  <c r="L45" i="1"/>
  <c r="L61" i="1"/>
  <c r="L41" i="1"/>
  <c r="L49" i="1"/>
  <c r="L69" i="1"/>
  <c r="L39" i="1"/>
  <c r="L55" i="1"/>
  <c r="J17" i="1"/>
  <c r="L74" i="1"/>
  <c r="L38" i="1"/>
  <c r="L43" i="1"/>
  <c r="L63" i="1"/>
  <c r="L66" i="1"/>
  <c r="L54" i="1"/>
  <c r="L64" i="1"/>
  <c r="L71" i="1"/>
  <c r="L73" i="1"/>
  <c r="L68" i="1"/>
  <c r="L53" i="1"/>
  <c r="L47" i="1"/>
  <c r="L72" i="1"/>
  <c r="L42" i="1"/>
  <c r="L40" i="1"/>
  <c r="L60" i="1"/>
  <c r="L62" i="1"/>
  <c r="L59" i="1"/>
  <c r="L50" i="1"/>
  <c r="J71" i="1"/>
  <c r="J45" i="1"/>
  <c r="J51" i="1"/>
  <c r="J70" i="1"/>
  <c r="J64" i="1"/>
  <c r="J58" i="1"/>
  <c r="J61" i="1"/>
  <c r="J56" i="1"/>
  <c r="J39" i="1"/>
  <c r="J52" i="1"/>
  <c r="J66" i="1"/>
  <c r="J48" i="1"/>
  <c r="J55" i="1"/>
  <c r="J53" i="1"/>
  <c r="J59" i="1"/>
  <c r="J72" i="1"/>
  <c r="J60" i="1"/>
  <c r="J49" i="1"/>
  <c r="J50" i="1"/>
  <c r="J69" i="1"/>
  <c r="J47" i="1"/>
  <c r="J44" i="1"/>
  <c r="J74" i="1"/>
  <c r="J43" i="1"/>
  <c r="J63" i="1"/>
  <c r="J40" i="1"/>
  <c r="J62" i="1"/>
  <c r="J67" i="1"/>
  <c r="J73" i="1"/>
  <c r="J68" i="1"/>
  <c r="J54" i="1"/>
  <c r="J38" i="1"/>
  <c r="I41" i="2"/>
  <c r="I41" i="3"/>
  <c r="I41" i="5"/>
  <c r="I41" i="4"/>
  <c r="J155" i="1"/>
  <c r="H39" i="1"/>
  <c r="H67" i="1"/>
  <c r="H55" i="1"/>
  <c r="H57" i="1"/>
  <c r="H73" i="1"/>
  <c r="H51" i="1"/>
  <c r="H47" i="1"/>
  <c r="H43" i="1"/>
  <c r="H41" i="1"/>
  <c r="H63" i="1"/>
  <c r="H50" i="1"/>
  <c r="H60" i="1"/>
  <c r="H45" i="1"/>
  <c r="H40" i="1"/>
  <c r="H69" i="1"/>
  <c r="H66" i="1"/>
  <c r="H52" i="1"/>
  <c r="H44" i="1"/>
  <c r="H59" i="1"/>
  <c r="H38" i="1"/>
  <c r="H56" i="1"/>
  <c r="H74" i="1"/>
  <c r="H70" i="1"/>
  <c r="H72" i="1"/>
  <c r="H53" i="1"/>
  <c r="H48" i="1"/>
  <c r="H71" i="1"/>
  <c r="H54" i="1"/>
  <c r="H61" i="1"/>
  <c r="H64" i="1"/>
  <c r="G77" i="1"/>
  <c r="H58" i="1"/>
  <c r="H68" i="1"/>
  <c r="L218" i="1"/>
  <c r="K3" i="1"/>
  <c r="M22" i="1"/>
  <c r="M81" i="1"/>
  <c r="M89" i="1" s="1"/>
  <c r="M99" i="1" s="1"/>
  <c r="M113" i="1" s="1"/>
  <c r="M117" i="1" s="1"/>
  <c r="K114" i="1" s="1"/>
  <c r="L114" i="1" s="1"/>
  <c r="L188" i="1"/>
  <c r="K2" i="1"/>
  <c r="L24" i="1"/>
  <c r="K25" i="1"/>
  <c r="I20" i="1"/>
  <c r="H18" i="1"/>
  <c r="I121" i="1"/>
  <c r="H62" i="1"/>
  <c r="G2" i="1"/>
  <c r="F2" i="1" s="1"/>
  <c r="H188" i="1"/>
  <c r="K26" i="1"/>
  <c r="J15" i="1"/>
  <c r="L15" i="1"/>
  <c r="K18" i="1"/>
  <c r="J57" i="1"/>
  <c r="I2" i="1"/>
  <c r="J188" i="1"/>
  <c r="J24" i="1"/>
  <c r="J41" i="1"/>
  <c r="M10" i="2"/>
  <c r="M10" i="4"/>
  <c r="M10" i="3"/>
  <c r="I3" i="1"/>
  <c r="J218" i="1"/>
  <c r="H4" i="4" l="1"/>
  <c r="F4" i="4"/>
  <c r="E28" i="1"/>
  <c r="E29" i="1"/>
  <c r="F4" i="5"/>
  <c r="J4" i="5"/>
  <c r="J3" i="3"/>
  <c r="J4" i="2"/>
  <c r="G27" i="1"/>
  <c r="H26" i="1"/>
  <c r="G121" i="1"/>
  <c r="F18" i="1"/>
  <c r="G20" i="1"/>
  <c r="H20" i="1" s="1"/>
  <c r="F26" i="1"/>
  <c r="H3" i="5"/>
  <c r="F3" i="5"/>
  <c r="H3" i="3"/>
  <c r="J3" i="4"/>
  <c r="H3" i="4"/>
  <c r="H4" i="2"/>
  <c r="K10" i="3"/>
  <c r="L4" i="3"/>
  <c r="J4" i="3"/>
  <c r="L3" i="3"/>
  <c r="K9" i="3"/>
  <c r="H3" i="2"/>
  <c r="E34" i="1"/>
  <c r="E99" i="1"/>
  <c r="M28" i="1"/>
  <c r="M34" i="1" s="1"/>
  <c r="M29" i="1"/>
  <c r="J2" i="1"/>
  <c r="I9" i="2"/>
  <c r="I9" i="3"/>
  <c r="I9" i="4"/>
  <c r="I10" i="2"/>
  <c r="I10" i="3"/>
  <c r="I10" i="4"/>
  <c r="J3" i="1"/>
  <c r="H3" i="1"/>
  <c r="K27" i="1"/>
  <c r="L26" i="1"/>
  <c r="J26" i="1"/>
  <c r="L18" i="1"/>
  <c r="K121" i="1"/>
  <c r="K20" i="1"/>
  <c r="J20" i="1" s="1"/>
  <c r="J18" i="1"/>
  <c r="L2" i="1"/>
  <c r="K9" i="2"/>
  <c r="K9" i="4"/>
  <c r="K10" i="2"/>
  <c r="L3" i="1"/>
  <c r="K10" i="4"/>
  <c r="G9" i="4"/>
  <c r="H2" i="1"/>
  <c r="G9" i="3"/>
  <c r="G9" i="2"/>
  <c r="I81" i="1"/>
  <c r="I22" i="1"/>
  <c r="G22" i="1" l="1"/>
  <c r="F20" i="1"/>
  <c r="G81" i="1"/>
  <c r="H81" i="1" s="1"/>
  <c r="E113" i="1"/>
  <c r="I89" i="1"/>
  <c r="I29" i="1"/>
  <c r="I28" i="1"/>
  <c r="L20" i="1"/>
  <c r="K22" i="1"/>
  <c r="J22" i="1" s="1"/>
  <c r="K81" i="1"/>
  <c r="J81" i="1" s="1"/>
  <c r="F22" i="1" l="1"/>
  <c r="G29" i="1"/>
  <c r="G28" i="1"/>
  <c r="H28" i="1" s="1"/>
  <c r="G89" i="1"/>
  <c r="F81" i="1"/>
  <c r="H22" i="1"/>
  <c r="I34" i="1"/>
  <c r="L81" i="1"/>
  <c r="K89" i="1"/>
  <c r="J89" i="1" s="1"/>
  <c r="K29" i="1"/>
  <c r="K28" i="1"/>
  <c r="L22" i="1"/>
  <c r="I99" i="1"/>
  <c r="G34" i="1" l="1"/>
  <c r="H34" i="1" s="1"/>
  <c r="F28" i="1"/>
  <c r="G99" i="1"/>
  <c r="H99" i="1" s="1"/>
  <c r="F89" i="1"/>
  <c r="H89" i="1"/>
  <c r="I113" i="1"/>
  <c r="K34" i="1"/>
  <c r="L34" i="1" s="1"/>
  <c r="L28" i="1"/>
  <c r="L89" i="1"/>
  <c r="K99" i="1"/>
  <c r="J99" i="1" s="1"/>
  <c r="J28" i="1"/>
  <c r="F34" i="1" l="1"/>
  <c r="G113" i="1"/>
  <c r="F113" i="1" s="1"/>
  <c r="F99" i="1"/>
  <c r="J34" i="1"/>
  <c r="K113" i="1"/>
  <c r="J113" i="1" s="1"/>
  <c r="L99" i="1"/>
  <c r="H113" i="1"/>
  <c r="L113" i="1" l="1"/>
  <c r="K117" i="1"/>
  <c r="I114" i="1" l="1"/>
  <c r="L117" i="1"/>
  <c r="J114" i="1" l="1"/>
  <c r="I117" i="1"/>
  <c r="G114" i="1" l="1"/>
  <c r="J117" i="1"/>
  <c r="H114" i="1" l="1"/>
  <c r="G117" i="1"/>
  <c r="D114" i="1" s="1"/>
  <c r="D117" i="1" s="1"/>
  <c r="H117" i="1" l="1"/>
  <c r="E114" i="1"/>
  <c r="F114" i="1" l="1"/>
  <c r="E117" i="1"/>
  <c r="B114" i="1" s="1"/>
  <c r="F117" i="1" l="1"/>
  <c r="B117" i="1" l="1"/>
  <c r="C117" i="1" s="1"/>
  <c r="C1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Hofer</author>
  </authors>
  <commentList>
    <comment ref="D94" authorId="0" shapeId="0" xr:uid="{EFE48FFD-A9F5-4D92-AD6A-42D028C5A6E8}">
      <text>
        <r>
          <rPr>
            <b/>
            <sz val="9"/>
            <color indexed="81"/>
            <rFont val="Segoe UI"/>
            <family val="2"/>
          </rPr>
          <t>Peter Hofer:</t>
        </r>
        <r>
          <rPr>
            <sz val="9"/>
            <color indexed="81"/>
            <rFont val="Segoe UI"/>
            <family val="2"/>
          </rPr>
          <t xml:space="preserve">
Zeile 93+94 zusammengeführt
</t>
        </r>
      </text>
    </comment>
  </commentList>
</comments>
</file>

<file path=xl/sharedStrings.xml><?xml version="1.0" encoding="utf-8"?>
<sst xmlns="http://schemas.openxmlformats.org/spreadsheetml/2006/main" count="638" uniqueCount="166">
  <si>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</si>
  <si>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</si>
  <si>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</si>
  <si>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</si>
  <si>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</si>
  <si>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</si>
  <si>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</si>
  <si>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</si>
  <si>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</si>
  <si>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</si>
  <si>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</si>
  <si>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</si>
  <si>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</si>
  <si>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</si>
  <si>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</si>
  <si>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</si>
  <si>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</si>
  <si>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</si>
  <si>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</si>
  <si>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</si>
  <si>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</si>
  <si>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</si>
  <si>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</si>
  <si>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</si>
  <si>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</si>
  <si>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</si>
  <si>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</si>
  <si>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</si>
  <si>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</si>
  <si>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</si>
  <si>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</si>
  <si>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</si>
  <si>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</si>
  <si>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</si>
  <si>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</si>
  <si>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</si>
  <si>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</si>
  <si>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</si>
  <si>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</si>
  <si>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</si>
  <si>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</si>
  <si>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</si>
  <si>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</si>
  <si>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</si>
  <si>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</si>
  <si>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</si>
  <si>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</si>
  <si>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</si>
  <si>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</si>
  <si>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</si>
  <si>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</si>
  <si>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</si>
  <si>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</si>
  <si>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</si>
  <si>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</si>
  <si>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</si>
  <si>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</si>
  <si>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</si>
  <si>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</si>
  <si>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</si>
  <si>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</si>
  <si>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</si>
  <si>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</si>
  <si>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</si>
  <si>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</si>
  <si>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</si>
  <si>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</si>
  <si>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</si>
  <si>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</si>
  <si>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</si>
  <si>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</si>
  <si>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</si>
  <si>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</si>
  <si>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</si>
  <si>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non-controlling interest due to acquisitions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</si>
  <si>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</si>
  <si>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</si>
  <si>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</si>
  <si>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</si>
  <si>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</si>
  <si>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</si>
  <si>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</si>
  <si>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</si>
  <si>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</si>
  <si>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</si>
  <si>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</si>
  <si>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</si>
  <si>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</si>
  <si>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</si>
  <si>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</si>
  <si>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</si>
  <si>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</si>
  <si>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</si>
  <si>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</si>
  <si>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</si>
  <si>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</si>
  <si>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</si>
  <si>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</si>
  <si>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</si>
  <si>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</si>
  <si>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</si>
  <si>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</si>
  <si>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</si>
  <si>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</si>
  <si>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</si>
  <si>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</si>
  <si>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</si>
  <si>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</si>
  <si>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</si>
  <si>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</si>
  <si>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</si>
  <si>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</si>
  <si>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</si>
  <si>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</si>
  <si>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</si>
  <si>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</si>
  <si>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</si>
  <si>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</si>
  <si>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</si>
  <si>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</si>
  <si>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</si>
  <si>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</si>
  <si>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</si>
  <si>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</si>
  <si>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</si>
  <si>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</si>
  <si>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</si>
  <si>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</si>
  <si>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</si>
  <si>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Assets held for sale</t>
  </si>
  <si>
    <t>% 2015-2016</t>
  </si>
  <si>
    <t>2016: % of balance sheet total</t>
  </si>
  <si>
    <t>Russia</t>
  </si>
  <si>
    <t>Inflows from asset disposals</t>
  </si>
  <si>
    <t>2017: % of balance sheet total</t>
  </si>
  <si>
    <t>% 2016-2017</t>
  </si>
  <si>
    <t>% 2016/2017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</si>
  <si>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</si>
  <si>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</si>
  <si>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</si>
  <si>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</si>
  <si>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</si>
  <si>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</si>
  <si>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</si>
  <si>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</si>
  <si>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Change in other financing liabilities</t>
  </si>
  <si>
    <t>Distribution of dividends</t>
  </si>
  <si>
    <t>Cash and cash equivalents at the beginning of the period</t>
  </si>
  <si>
    <t>% 9M/2017-9M/2018</t>
  </si>
  <si>
    <t>Rights from concession arrangements</t>
  </si>
  <si>
    <t>Change in bonds / bonded loans</t>
  </si>
  <si>
    <t>% 2017-2018</t>
  </si>
  <si>
    <t>2018: % of balance sheet total</t>
  </si>
  <si>
    <t>Contract assets</t>
  </si>
  <si>
    <t xml:space="preserve">Contract liabilities </t>
  </si>
  <si>
    <t>2019: % of balance sheet total</t>
  </si>
  <si>
    <t>% 2018-2019</t>
  </si>
  <si>
    <t>Change in lease liabilities</t>
  </si>
  <si>
    <t>6M 2019</t>
  </si>
  <si>
    <t>6M 2020</t>
  </si>
  <si>
    <t>% 6M 2019-6M 2020</t>
  </si>
  <si>
    <t>% 6M 2019- 6M 2020</t>
  </si>
  <si>
    <t>-</t>
  </si>
  <si>
    <t>2020: % of balance sheet total</t>
  </si>
  <si>
    <t>Purchase of lease right of use assets</t>
  </si>
  <si>
    <t>Purchase of property, plant, equipment and intangible assets and lease right of use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</si>
</sst>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  <numFmt numFmtId="171" formatCode="#,##0.00_ ;[Red]\-#,##0.00\ "/>
  </numFmts>
  <fonts count="68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auto="1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FF0000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15" applyNumberFormat="0" applyAlignment="0" applyProtection="0"/>
    <xf numFmtId="0" fontId="18" fillId="33" borderId="16" applyNumberFormat="0" applyAlignment="0" applyProtection="0"/>
    <xf numFmtId="0" fontId="19" fillId="20" borderId="16" applyNumberFormat="0" applyAlignment="0" applyProtection="0"/>
    <xf numFmtId="0" fontId="20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18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23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7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8" fontId="36" fillId="37" borderId="1" applyNumberFormat="0" applyFont="0" applyBorder="0" applyAlignment="0"/>
    <xf numFmtId="169" fontId="37" fillId="0" borderId="0" applyFont="0" applyFill="0" applyBorder="0" applyAlignment="0" applyProtection="0"/>
    <xf numFmtId="3" fontId="38" fillId="0" borderId="8" applyNumberFormat="0" applyFill="0" applyBorder="0" applyAlignment="0">
      <protection locked="0"/>
    </xf>
    <xf numFmtId="0" fontId="39" fillId="0" borderId="0"/>
    <xf numFmtId="0" fontId="5" fillId="0" borderId="24" applyNumberFormat="0" applyFont="0" applyFill="0" applyAlignment="0" applyProtection="0"/>
    <xf numFmtId="0" fontId="5" fillId="0" borderId="25" applyNumberFormat="0" applyFont="0" applyFill="0" applyAlignment="0" applyProtection="0"/>
    <xf numFmtId="0" fontId="5" fillId="0" borderId="26" applyNumberFormat="0" applyFont="0" applyFill="0" applyAlignment="0" applyProtection="0"/>
    <xf numFmtId="0" fontId="5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4" fontId="37" fillId="0" borderId="0" applyFont="0" applyFill="0" applyBorder="0" applyAlignment="0" applyProtection="0"/>
    <xf numFmtId="170" fontId="43" fillId="0" borderId="27" applyFont="0" applyFill="0" applyBorder="0" applyProtection="0">
      <alignment horizontal="right"/>
    </xf>
    <xf numFmtId="0" fontId="14" fillId="0" borderId="28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2" applyNumberFormat="0" applyAlignment="0" applyProtection="0"/>
    <xf numFmtId="0" fontId="52" fillId="43" borderId="35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29" applyNumberFormat="0" applyFill="0" applyAlignment="0" applyProtection="0"/>
    <xf numFmtId="0" fontId="57" fillId="0" borderId="30" applyNumberFormat="0" applyFill="0" applyAlignment="0" applyProtection="0"/>
    <xf numFmtId="0" fontId="58" fillId="0" borderId="31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2" applyNumberFormat="0" applyAlignment="0" applyProtection="0"/>
    <xf numFmtId="0" fontId="60" fillId="0" borderId="34" applyNumberFormat="0" applyFill="0" applyAlignment="0" applyProtection="0"/>
    <xf numFmtId="0" fontId="53" fillId="44" borderId="36" applyNumberFormat="0" applyFont="0" applyAlignment="0" applyProtection="0"/>
    <xf numFmtId="0" fontId="61" fillId="42" borderId="33" applyNumberFormat="0" applyAlignment="0" applyProtection="0"/>
    <xf numFmtId="0" fontId="46" fillId="0" borderId="0" applyNumberFormat="0" applyFill="0" applyBorder="0" applyAlignment="0" applyProtection="0"/>
    <xf numFmtId="0" fontId="62" fillId="0" borderId="37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95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9" fontId="8" fillId="4" borderId="1" xfId="1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8" fillId="0" borderId="1" xfId="0" applyNumberFormat="1" applyFont="1" applyBorder="1"/>
    <xf numFmtId="3" fontId="8" fillId="0" borderId="10" xfId="0" applyNumberFormat="1" applyFont="1" applyBorder="1"/>
    <xf numFmtId="3" fontId="7" fillId="4" borderId="1" xfId="0" applyNumberFormat="1" applyFont="1" applyFill="1" applyBorder="1" applyAlignment="1">
      <alignment horizontal="right" wrapText="1"/>
    </xf>
    <xf numFmtId="3" fontId="7" fillId="0" borderId="11" xfId="0" applyNumberFormat="1" applyFont="1" applyBorder="1"/>
    <xf numFmtId="0" fontId="7" fillId="4" borderId="1" xfId="0" applyFont="1" applyFill="1" applyBorder="1"/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4" fontId="7" fillId="7" borderId="1" xfId="0" applyNumberFormat="1" applyFont="1" applyFill="1" applyBorder="1" applyAlignment="1">
      <alignment horizontal="right"/>
    </xf>
    <xf numFmtId="0" fontId="7" fillId="6" borderId="1" xfId="0" applyFont="1" applyFill="1" applyBorder="1"/>
    <xf numFmtId="0" fontId="8" fillId="7" borderId="1" xfId="0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3" fontId="8" fillId="7" borderId="2" xfId="0" applyNumberFormat="1" applyFont="1" applyFill="1" applyBorder="1"/>
    <xf numFmtId="3" fontId="8" fillId="0" borderId="9" xfId="0" applyNumberFormat="1" applyFont="1" applyBorder="1"/>
    <xf numFmtId="3" fontId="8" fillId="7" borderId="4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3" fontId="8" fillId="7" borderId="1" xfId="0" applyNumberFormat="1" applyFont="1" applyFill="1" applyBorder="1"/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9" fontId="11" fillId="7" borderId="4" xfId="1" applyFont="1" applyFill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8" fillId="7" borderId="2" xfId="0" applyNumberFormat="1" applyFont="1" applyFill="1" applyBorder="1"/>
    <xf numFmtId="4" fontId="8" fillId="7" borderId="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8" fillId="7" borderId="4" xfId="0" applyNumberFormat="1" applyFont="1" applyFill="1" applyBorder="1"/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4" fontId="7" fillId="10" borderId="1" xfId="0" applyNumberFormat="1" applyFont="1" applyFill="1" applyBorder="1" applyAlignment="1">
      <alignment horizontal="right"/>
    </xf>
    <xf numFmtId="0" fontId="7" fillId="8" borderId="1" xfId="0" applyFont="1" applyFill="1" applyBorder="1"/>
    <xf numFmtId="0" fontId="8" fillId="10" borderId="1" xfId="0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3" fontId="8" fillId="10" borderId="2" xfId="0" applyNumberFormat="1" applyFont="1" applyFill="1" applyBorder="1"/>
    <xf numFmtId="9" fontId="8" fillId="4" borderId="4" xfId="1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right" wrapText="1"/>
    </xf>
    <xf numFmtId="9" fontId="8" fillId="4" borderId="13" xfId="1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3" fontId="8" fillId="10" borderId="4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4" xfId="0" applyNumberFormat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4" xfId="1" applyFont="1" applyFill="1" applyBorder="1" applyAlignment="1">
      <alignment horizontal="right" wrapText="1"/>
    </xf>
    <xf numFmtId="9" fontId="11" fillId="4" borderId="4" xfId="1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8" fillId="10" borderId="2" xfId="0" applyNumberFormat="1" applyFont="1" applyFill="1" applyBorder="1"/>
    <xf numFmtId="4" fontId="8" fillId="10" borderId="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8" fillId="10" borderId="4" xfId="0" applyNumberFormat="1" applyFont="1" applyFill="1" applyBorder="1"/>
    <xf numFmtId="4" fontId="7" fillId="10" borderId="1" xfId="0" applyNumberFormat="1" applyFont="1" applyFill="1" applyBorder="1"/>
    <xf numFmtId="4" fontId="7" fillId="10" borderId="1" xfId="0" applyNumberFormat="1" applyFont="1" applyFill="1" applyBorder="1" applyAlignment="1">
      <alignment wrapText="1"/>
    </xf>
    <xf numFmtId="4" fontId="7" fillId="10" borderId="1" xfId="0" applyNumberFormat="1" applyFont="1" applyFill="1" applyBorder="1" applyAlignment="1">
      <alignment horizontal="right"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4" fontId="7" fillId="11" borderId="1" xfId="0" applyNumberFormat="1" applyFont="1" applyFill="1" applyBorder="1" applyAlignment="1">
      <alignment horizontal="right"/>
    </xf>
    <xf numFmtId="0" fontId="7" fillId="9" borderId="1" xfId="0" applyFont="1" applyFill="1" applyBorder="1"/>
    <xf numFmtId="0" fontId="8" fillId="11" borderId="1" xfId="0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2" xfId="0" applyNumberFormat="1" applyFont="1" applyFill="1" applyBorder="1"/>
    <xf numFmtId="3" fontId="8" fillId="11" borderId="4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3" fontId="8" fillId="11" borderId="1" xfId="0" applyNumberFormat="1" applyFont="1" applyFill="1" applyBorder="1"/>
    <xf numFmtId="0" fontId="11" fillId="11" borderId="1" xfId="0" applyFont="1" applyFill="1" applyBorder="1" applyAlignment="1">
      <alignment wrapText="1"/>
    </xf>
    <xf numFmtId="4" fontId="8" fillId="11" borderId="2" xfId="0" applyNumberFormat="1" applyFont="1" applyFill="1" applyBorder="1"/>
    <xf numFmtId="4" fontId="8" fillId="11" borderId="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4" fontId="7" fillId="13" borderId="1" xfId="0" applyNumberFormat="1" applyFont="1" applyFill="1" applyBorder="1" applyAlignment="1">
      <alignment horizontal="right"/>
    </xf>
    <xf numFmtId="0" fontId="8" fillId="13" borderId="1" xfId="0" applyFont="1" applyFill="1" applyBorder="1"/>
    <xf numFmtId="165" fontId="8" fillId="13" borderId="1" xfId="1" applyNumberFormat="1" applyFont="1" applyFill="1" applyBorder="1" applyAlignment="1">
      <alignment horizontal="right"/>
    </xf>
    <xf numFmtId="0" fontId="11" fillId="8" borderId="1" xfId="0" applyFont="1" applyFill="1" applyBorder="1" applyAlignment="1">
      <alignment vertical="center"/>
    </xf>
    <xf numFmtId="165" fontId="8" fillId="13" borderId="3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3" fontId="8" fillId="13" borderId="2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wrapText="1"/>
    </xf>
    <xf numFmtId="3" fontId="8" fillId="13" borderId="1" xfId="0" applyNumberFormat="1" applyFont="1" applyFill="1" applyBorder="1"/>
    <xf numFmtId="3" fontId="8" fillId="13" borderId="4" xfId="0" applyNumberFormat="1" applyFont="1" applyFill="1" applyBorder="1"/>
    <xf numFmtId="0" fontId="7" fillId="13" borderId="1" xfId="0" applyFont="1" applyFill="1" applyBorder="1" applyAlignment="1">
      <alignment wrapText="1"/>
    </xf>
    <xf numFmtId="3" fontId="7" fillId="13" borderId="4" xfId="0" applyNumberFormat="1" applyFont="1" applyFill="1" applyBorder="1" applyAlignment="1">
      <alignment horizontal="right" wrapText="1"/>
    </xf>
    <xf numFmtId="0" fontId="11" fillId="13" borderId="1" xfId="0" applyFont="1" applyFill="1" applyBorder="1" applyAlignment="1">
      <alignment wrapText="1"/>
    </xf>
    <xf numFmtId="9" fontId="11" fillId="13" borderId="4" xfId="1" applyFont="1" applyFill="1" applyBorder="1" applyAlignment="1">
      <alignment horizontal="right" wrapText="1"/>
    </xf>
    <xf numFmtId="4" fontId="8" fillId="13" borderId="2" xfId="0" applyNumberFormat="1" applyFont="1" applyFill="1" applyBorder="1"/>
    <xf numFmtId="4" fontId="8" fillId="13" borderId="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8" fillId="13" borderId="4" xfId="0" applyNumberFormat="1" applyFont="1" applyFill="1" applyBorder="1"/>
    <xf numFmtId="4" fontId="7" fillId="13" borderId="1" xfId="0" applyNumberFormat="1" applyFont="1" applyFill="1" applyBorder="1"/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4" fontId="8" fillId="7" borderId="13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4" fontId="8" fillId="10" borderId="13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9" fontId="7" fillId="13" borderId="1" xfId="1" applyFont="1" applyFill="1" applyBorder="1"/>
    <xf numFmtId="3" fontId="8" fillId="5" borderId="2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 applyAlignment="1">
      <alignment horizontal="right" vertical="center"/>
    </xf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9" fontId="7" fillId="0" borderId="7" xfId="1" applyFont="1" applyFill="1" applyBorder="1" applyAlignment="1" applyProtection="1">
      <alignment horizontal="right" wrapText="1"/>
      <protection locked="0"/>
    </xf>
    <xf numFmtId="9" fontId="8" fillId="0" borderId="7" xfId="1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45" xfId="1" applyFont="1" applyFill="1" applyBorder="1" applyAlignment="1" applyProtection="1">
      <alignment horizontal="right" wrapText="1"/>
      <protection locked="0"/>
    </xf>
    <xf numFmtId="9" fontId="7" fillId="0" borderId="44" xfId="1" applyFont="1" applyFill="1" applyBorder="1" applyAlignment="1" applyProtection="1">
      <alignment horizontal="right" wrapText="1"/>
      <protection locked="0"/>
    </xf>
    <xf numFmtId="3" fontId="8" fillId="7" borderId="4" xfId="0" applyNumberFormat="1" applyFont="1" applyFill="1" applyBorder="1" applyAlignment="1">
      <alignment horizontal="right" wrapText="1"/>
    </xf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9" fontId="11" fillId="7" borderId="4" xfId="1" applyFont="1" applyFill="1" applyBorder="1" applyAlignment="1">
      <alignment horizontal="right" wrapText="1"/>
    </xf>
    <xf numFmtId="4" fontId="8" fillId="7" borderId="4" xfId="0" applyNumberFormat="1" applyFont="1" applyFill="1" applyBorder="1" applyAlignment="1">
      <alignment horizontal="right" wrapText="1"/>
    </xf>
    <xf numFmtId="4" fontId="8" fillId="7" borderId="4" xfId="0" applyNumberFormat="1" applyFont="1" applyFill="1" applyBorder="1"/>
    <xf numFmtId="3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9" fontId="11" fillId="13" borderId="4" xfId="1" applyFont="1" applyFill="1" applyBorder="1" applyAlignment="1">
      <alignment horizontal="right" wrapText="1"/>
    </xf>
    <xf numFmtId="4" fontId="8" fillId="13" borderId="4" xfId="0" applyNumberFormat="1" applyFont="1" applyFill="1" applyBorder="1" applyAlignment="1">
      <alignment horizontal="right" wrapText="1"/>
    </xf>
    <xf numFmtId="4" fontId="8" fillId="13" borderId="4" xfId="0" applyNumberFormat="1" applyFont="1" applyFill="1" applyBorder="1"/>
    <xf numFmtId="4" fontId="7" fillId="5" borderId="1" xfId="0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2" xfId="1" applyFont="1" applyFill="1" applyBorder="1" applyProtection="1"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8" fillId="5" borderId="6" xfId="0" applyNumberFormat="1" applyFont="1" applyFill="1" applyBorder="1" applyAlignment="1" applyProtection="1">
      <alignment horizontal="right" wrapText="1"/>
      <protection locked="0"/>
    </xf>
    <xf numFmtId="4" fontId="8" fillId="5" borderId="39" xfId="0" applyNumberFormat="1" applyFont="1" applyFill="1" applyBorder="1" applyAlignment="1" applyProtection="1">
      <alignment horizontal="right"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3" fontId="8" fillId="4" borderId="2" xfId="0" applyNumberFormat="1" applyFont="1" applyFill="1" applyBorder="1"/>
    <xf numFmtId="3" fontId="8" fillId="4" borderId="1" xfId="0" applyNumberFormat="1" applyFont="1" applyFill="1" applyBorder="1"/>
    <xf numFmtId="3" fontId="8" fillId="5" borderId="12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4" fontId="7" fillId="0" borderId="1" xfId="0" applyNumberFormat="1" applyFont="1" applyFill="1" applyBorder="1" applyAlignment="1">
      <alignment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4" borderId="1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9" fontId="8" fillId="5" borderId="1" xfId="1" applyNumberFormat="1" applyFont="1" applyFill="1" applyBorder="1" applyAlignment="1">
      <alignment horizontal="right" wrapText="1"/>
    </xf>
    <xf numFmtId="9" fontId="7" fillId="5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38" xfId="0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0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1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42" xfId="0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2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2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43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165" fontId="8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3" fontId="8" fillId="13" borderId="2" xfId="0" applyNumberFormat="1" applyFont="1" applyFill="1" applyBorder="1"/>
    <xf numFmtId="3" fontId="8" fillId="13" borderId="41" xfId="0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1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7" fillId="13" borderId="1" xfId="0" applyNumberFormat="1" applyFont="1" applyFill="1" applyBorder="1"/>
    <xf numFmtId="4" fontId="7" fillId="7" borderId="1" xfId="0" applyNumberFormat="1" applyFont="1" applyFill="1" applyBorder="1" applyAlignment="1">
      <alignment horizontal="right"/>
    </xf>
    <xf numFmtId="9" fontId="8" fillId="7" borderId="2" xfId="1" applyFont="1" applyFill="1" applyBorder="1"/>
    <xf numFmtId="4" fontId="7" fillId="10" borderId="1" xfId="0" applyNumberFormat="1" applyFont="1" applyFill="1" applyBorder="1" applyAlignment="1">
      <alignment horizontal="right"/>
    </xf>
    <xf numFmtId="9" fontId="8" fillId="10" borderId="2" xfId="1" applyFont="1" applyFill="1" applyBorder="1"/>
    <xf numFmtId="4" fontId="7" fillId="11" borderId="1" xfId="0" applyNumberFormat="1" applyFont="1" applyFill="1" applyBorder="1" applyAlignment="1">
      <alignment horizontal="right"/>
    </xf>
    <xf numFmtId="9" fontId="8" fillId="11" borderId="2" xfId="1" applyFont="1" applyFill="1" applyBorder="1"/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0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13" borderId="2" xfId="1" applyFont="1" applyFill="1" applyBorder="1" applyAlignment="1">
      <alignment horizontal="right"/>
    </xf>
    <xf numFmtId="4" fontId="7" fillId="0" borderId="39" xfId="0" applyNumberFormat="1" applyFont="1" applyFill="1" applyBorder="1" applyAlignment="1" applyProtection="1">
      <alignment horizontal="right" wrapText="1"/>
      <protection locked="0"/>
    </xf>
    <xf numFmtId="4" fontId="8" fillId="0" borderId="43" xfId="0" applyNumberFormat="1" applyFont="1" applyFill="1" applyBorder="1" applyAlignment="1" applyProtection="1">
      <alignment horizontal="right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4" fontId="8" fillId="0" borderId="13" xfId="0" quotePrefix="1" applyNumberFormat="1" applyFont="1" applyFill="1" applyBorder="1" applyAlignment="1" applyProtection="1">
      <alignment horizontal="right" wrapText="1"/>
      <protection locked="0"/>
    </xf>
    <xf numFmtId="9" fontId="8" fillId="0" borderId="14" xfId="1" applyFont="1" applyFill="1" applyBorder="1" applyAlignment="1" applyProtection="1">
      <alignment horizontal="right"/>
      <protection locked="0"/>
    </xf>
    <xf numFmtId="4" fontId="8" fillId="0" borderId="8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/>
      <protection locked="0"/>
    </xf>
    <xf numFmtId="0" fontId="8" fillId="11" borderId="10" xfId="0" applyFont="1" applyFill="1" applyBorder="1" applyAlignment="1">
      <alignment horizontal="right" wrapText="1"/>
    </xf>
    <xf numFmtId="4" fontId="8" fillId="11" borderId="10" xfId="0" applyNumberFormat="1" applyFont="1" applyFill="1" applyBorder="1"/>
    <xf numFmtId="4" fontId="8" fillId="13" borderId="13" xfId="0" applyNumberFormat="1" applyFont="1" applyFill="1" applyBorder="1" applyAlignment="1">
      <alignment horizontal="right" wrapText="1"/>
    </xf>
    <xf numFmtId="9" fontId="7" fillId="7" borderId="1" xfId="1" applyFont="1" applyFill="1" applyBorder="1"/>
    <xf numFmtId="3" fontId="8" fillId="4" borderId="43" xfId="0" applyNumberFormat="1" applyFont="1" applyFill="1" applyBorder="1"/>
    <xf numFmtId="165" fontId="8" fillId="5" borderId="1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horizontal="right" wrapText="1"/>
      <protection locked="0"/>
    </xf>
    <xf numFmtId="4" fontId="7" fillId="5" borderId="6" xfId="0" applyNumberFormat="1" applyFont="1" applyFill="1" applyBorder="1" applyAlignment="1" applyProtection="1">
      <alignment horizontal="right" wrapText="1"/>
      <protection locked="0"/>
    </xf>
    <xf numFmtId="0" fontId="9" fillId="0" borderId="48" xfId="0" applyFont="1" applyFill="1" applyBorder="1" applyAlignment="1" applyProtection="1">
      <alignment wrapText="1"/>
      <protection locked="0"/>
    </xf>
    <xf numFmtId="9" fontId="7" fillId="0" borderId="46" xfId="1" applyNumberFormat="1" applyFont="1" applyFill="1" applyBorder="1" applyAlignment="1" applyProtection="1">
      <alignment horizontal="right" wrapText="1"/>
      <protection locked="0"/>
    </xf>
    <xf numFmtId="9" fontId="8" fillId="0" borderId="46" xfId="1" applyNumberFormat="1" applyFont="1" applyFill="1" applyBorder="1" applyAlignment="1" applyProtection="1">
      <alignment horizontal="right" wrapText="1"/>
      <protection locked="0"/>
    </xf>
    <xf numFmtId="9" fontId="7" fillId="0" borderId="47" xfId="1" applyNumberFormat="1" applyFont="1" applyFill="1" applyBorder="1" applyAlignment="1" applyProtection="1">
      <alignment horizontal="right" wrapText="1"/>
      <protection locked="0"/>
    </xf>
    <xf numFmtId="0" fontId="10" fillId="14" borderId="1" xfId="0" applyFont="1" applyFill="1" applyBorder="1" applyAlignment="1" applyProtection="1">
      <alignment horizontal="center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3" borderId="1" xfId="1" applyNumberFormat="1" applyFont="1" applyFill="1" applyBorder="1" applyAlignment="1" applyProtection="1">
      <alignment horizontal="right" wrapText="1"/>
      <protection locked="0"/>
    </xf>
    <xf numFmtId="9" fontId="8" fillId="13" borderId="1" xfId="1" applyNumberFormat="1" applyFont="1" applyFill="1" applyBorder="1" applyAlignment="1" applyProtection="1">
      <alignment horizontal="right" wrapText="1"/>
      <protection locked="0"/>
    </xf>
    <xf numFmtId="4" fontId="8" fillId="5" borderId="43" xfId="0" quotePrefix="1" applyNumberFormat="1" applyFont="1" applyFill="1" applyBorder="1" applyAlignment="1" applyProtection="1">
      <alignment horizontal="right" wrapText="1"/>
      <protection locked="0"/>
    </xf>
    <xf numFmtId="4" fontId="8" fillId="0" borderId="43" xfId="0" quotePrefix="1" applyNumberFormat="1" applyFont="1" applyFill="1" applyBorder="1" applyAlignment="1" applyProtection="1">
      <alignment horizontal="right" wrapText="1"/>
      <protection locked="0"/>
    </xf>
    <xf numFmtId="9" fontId="7" fillId="0" borderId="43" xfId="1" applyFont="1" applyFill="1" applyBorder="1" applyAlignment="1" applyProtection="1">
      <alignment horizontal="right" wrapText="1"/>
      <protection locked="0"/>
    </xf>
    <xf numFmtId="3" fontId="8" fillId="0" borderId="43" xfId="0" applyNumberFormat="1" applyFont="1" applyFill="1" applyBorder="1" applyAlignment="1" applyProtection="1">
      <alignment horizontal="right" wrapText="1"/>
      <protection locked="0"/>
    </xf>
    <xf numFmtId="0" fontId="7" fillId="0" borderId="43" xfId="0" applyFont="1" applyFill="1" applyBorder="1" applyAlignment="1" applyProtection="1">
      <alignment horizontal="right" wrapText="1"/>
      <protection locked="0"/>
    </xf>
    <xf numFmtId="165" fontId="8" fillId="5" borderId="43" xfId="1" applyNumberFormat="1" applyFont="1" applyFill="1" applyBorder="1" applyAlignment="1" applyProtection="1">
      <alignment horizontal="right" wrapText="1"/>
      <protection locked="0"/>
    </xf>
    <xf numFmtId="165" fontId="8" fillId="0" borderId="43" xfId="1" applyNumberFormat="1" applyFont="1" applyFill="1" applyBorder="1" applyAlignment="1" applyProtection="1">
      <alignment horizontal="right" wrapText="1"/>
      <protection locked="0"/>
    </xf>
    <xf numFmtId="0" fontId="8" fillId="0" borderId="43" xfId="0" applyFont="1" applyFill="1" applyBorder="1" applyAlignment="1" applyProtection="1">
      <alignment horizontal="right" wrapText="1"/>
      <protection locked="0"/>
    </xf>
    <xf numFmtId="4" fontId="7" fillId="0" borderId="43" xfId="0" applyNumberFormat="1" applyFont="1" applyFill="1" applyBorder="1" applyAlignment="1" applyProtection="1">
      <alignment horizontal="right" wrapText="1"/>
      <protection locked="0"/>
    </xf>
    <xf numFmtId="9" fontId="8" fillId="0" borderId="43" xfId="1" applyFont="1" applyFill="1" applyBorder="1" applyAlignment="1" applyProtection="1">
      <alignment horizontal="right" wrapText="1"/>
      <protection locked="0"/>
    </xf>
    <xf numFmtId="4" fontId="8" fillId="5" borderId="43" xfId="0" applyNumberFormat="1" applyFont="1" applyFill="1" applyBorder="1" applyAlignment="1" applyProtection="1">
      <alignment horizontal="right" wrapText="1"/>
      <protection locked="0"/>
    </xf>
    <xf numFmtId="165" fontId="8" fillId="5" borderId="43" xfId="1" quotePrefix="1" applyNumberFormat="1" applyFont="1" applyFill="1" applyBorder="1" applyAlignment="1" applyProtection="1">
      <alignment horizontal="right" wrapText="1"/>
      <protection locked="0"/>
    </xf>
    <xf numFmtId="165" fontId="8" fillId="0" borderId="43" xfId="1" quotePrefix="1" applyNumberFormat="1" applyFont="1" applyFill="1" applyBorder="1" applyAlignment="1" applyProtection="1">
      <alignment horizontal="right" wrapText="1"/>
      <protection locked="0"/>
    </xf>
    <xf numFmtId="4" fontId="7" fillId="5" borderId="43" xfId="0" applyNumberFormat="1" applyFont="1" applyFill="1" applyBorder="1" applyAlignment="1" applyProtection="1">
      <alignment wrapText="1"/>
      <protection locked="0"/>
    </xf>
    <xf numFmtId="4" fontId="7" fillId="0" borderId="43" xfId="0" applyNumberFormat="1" applyFont="1" applyFill="1" applyBorder="1" applyAlignment="1" applyProtection="1">
      <alignment wrapText="1"/>
      <protection locked="0"/>
    </xf>
    <xf numFmtId="0" fontId="7" fillId="5" borderId="43" xfId="0" applyFont="1" applyFill="1" applyBorder="1" applyAlignment="1" applyProtection="1">
      <alignment horizontal="right" wrapText="1"/>
      <protection locked="0"/>
    </xf>
    <xf numFmtId="4" fontId="7" fillId="5" borderId="43" xfId="0" applyNumberFormat="1" applyFont="1" applyFill="1" applyBorder="1" applyAlignment="1" applyProtection="1">
      <alignment horizontal="right" wrapText="1"/>
      <protection locked="0"/>
    </xf>
    <xf numFmtId="2" fontId="8" fillId="5" borderId="43" xfId="0" applyNumberFormat="1" applyFont="1" applyFill="1" applyBorder="1" applyAlignment="1" applyProtection="1">
      <alignment horizontal="right" wrapText="1"/>
      <protection locked="0"/>
    </xf>
    <xf numFmtId="2" fontId="8" fillId="0" borderId="43" xfId="0" applyNumberFormat="1" applyFont="1" applyFill="1" applyBorder="1" applyAlignment="1" applyProtection="1">
      <alignment horizontal="right" wrapText="1"/>
      <protection locked="0"/>
    </xf>
    <xf numFmtId="165" fontId="7" fillId="0" borderId="43" xfId="1" applyNumberFormat="1" applyFont="1" applyFill="1" applyBorder="1" applyAlignment="1" applyProtection="1">
      <alignment horizontal="right" wrapText="1"/>
      <protection locked="0"/>
    </xf>
    <xf numFmtId="0" fontId="7" fillId="4" borderId="43" xfId="0" applyFont="1" applyFill="1" applyBorder="1" applyAlignment="1">
      <alignment horizontal="right" wrapText="1"/>
    </xf>
    <xf numFmtId="3" fontId="7" fillId="4" borderId="43" xfId="0" applyNumberFormat="1" applyFont="1" applyFill="1" applyBorder="1" applyAlignment="1">
      <alignment horizontal="right" wrapText="1"/>
    </xf>
    <xf numFmtId="3" fontId="8" fillId="4" borderId="43" xfId="0" applyNumberFormat="1" applyFont="1" applyFill="1" applyBorder="1" applyAlignment="1">
      <alignment horizontal="right" wrapText="1"/>
    </xf>
    <xf numFmtId="4" fontId="8" fillId="4" borderId="43" xfId="0" applyNumberFormat="1" applyFont="1" applyFill="1" applyBorder="1" applyAlignment="1">
      <alignment horizontal="right" wrapText="1"/>
    </xf>
    <xf numFmtId="4" fontId="8" fillId="4" borderId="43" xfId="0" applyNumberFormat="1" applyFont="1" applyFill="1" applyBorder="1"/>
    <xf numFmtId="4" fontId="8" fillId="0" borderId="43" xfId="0" applyNumberFormat="1" applyFont="1" applyFill="1" applyBorder="1"/>
    <xf numFmtId="4" fontId="8" fillId="0" borderId="43" xfId="0" applyNumberFormat="1" applyFont="1" applyFill="1" applyBorder="1" applyAlignment="1">
      <alignment horizontal="right" wrapText="1"/>
    </xf>
    <xf numFmtId="4" fontId="8" fillId="0" borderId="8" xfId="0" applyNumberFormat="1" applyFont="1" applyFill="1" applyBorder="1" applyAlignment="1" applyProtection="1">
      <alignment horizontal="right" wrapText="1"/>
      <protection locked="0"/>
    </xf>
    <xf numFmtId="9" fontId="8" fillId="0" borderId="5" xfId="1" applyNumberFormat="1" applyFont="1" applyFill="1" applyBorder="1" applyAlignment="1" applyProtection="1">
      <alignment horizontal="right" wrapText="1"/>
      <protection locked="0"/>
    </xf>
    <xf numFmtId="9" fontId="8" fillId="0" borderId="43" xfId="1" quotePrefix="1" applyNumberFormat="1" applyFont="1" applyFill="1" applyBorder="1" applyAlignment="1" applyProtection="1">
      <alignment horizontal="right" wrapText="1"/>
      <protection locked="0"/>
    </xf>
    <xf numFmtId="9" fontId="11" fillId="10" borderId="43" xfId="1" applyFont="1" applyFill="1" applyBorder="1" applyAlignment="1">
      <alignment horizontal="right" wrapText="1"/>
    </xf>
    <xf numFmtId="3" fontId="8" fillId="10" borderId="43" xfId="0" applyNumberFormat="1" applyFont="1" applyFill="1" applyBorder="1" applyAlignment="1">
      <alignment horizontal="right" wrapText="1"/>
    </xf>
    <xf numFmtId="3" fontId="8" fillId="10" borderId="43" xfId="0" applyNumberFormat="1" applyFont="1" applyFill="1" applyBorder="1"/>
    <xf numFmtId="3" fontId="7" fillId="10" borderId="43" xfId="0" applyNumberFormat="1" applyFont="1" applyFill="1" applyBorder="1" applyAlignment="1">
      <alignment horizontal="right" wrapText="1"/>
    </xf>
    <xf numFmtId="4" fontId="8" fillId="10" borderId="43" xfId="0" applyNumberFormat="1" applyFont="1" applyFill="1" applyBorder="1"/>
    <xf numFmtId="4" fontId="8" fillId="13" borderId="43" xfId="0" applyNumberFormat="1" applyFont="1" applyFill="1" applyBorder="1" applyAlignment="1">
      <alignment horizontal="right" wrapText="1"/>
    </xf>
    <xf numFmtId="9" fontId="7" fillId="13" borderId="3" xfId="1" applyNumberFormat="1" applyFont="1" applyFill="1" applyBorder="1" applyAlignment="1">
      <alignment horizontal="right"/>
    </xf>
    <xf numFmtId="4" fontId="8" fillId="13" borderId="49" xfId="1" applyNumberFormat="1" applyFont="1" applyFill="1" applyBorder="1" applyAlignment="1">
      <alignment horizontal="right"/>
    </xf>
    <xf numFmtId="4" fontId="7" fillId="11" borderId="1" xfId="0" applyNumberFormat="1" applyFont="1" applyFill="1" applyBorder="1"/>
    <xf numFmtId="4" fontId="8" fillId="5" borderId="50" xfId="0" quotePrefix="1" applyNumberFormat="1" applyFont="1" applyFill="1" applyBorder="1" applyAlignment="1" applyProtection="1">
      <alignment horizontal="right" wrapText="1"/>
      <protection locked="0"/>
    </xf>
    <xf numFmtId="0" fontId="8" fillId="5" borderId="1" xfId="0" applyFont="1" applyFill="1" applyBorder="1" applyAlignment="1" applyProtection="1">
      <alignment wrapText="1"/>
      <protection locked="0"/>
    </xf>
    <xf numFmtId="4" fontId="8" fillId="13" borderId="1" xfId="0" applyNumberFormat="1" applyFont="1" applyFill="1" applyBorder="1" applyAlignment="1">
      <alignment wrapText="1"/>
    </xf>
    <xf numFmtId="3" fontId="8" fillId="5" borderId="1" xfId="0" applyNumberFormat="1" applyFont="1" applyFill="1" applyBorder="1"/>
    <xf numFmtId="4" fontId="8" fillId="5" borderId="2" xfId="0" applyNumberFormat="1" applyFont="1" applyFill="1" applyBorder="1"/>
    <xf numFmtId="4" fontId="8" fillId="5" borderId="43" xfId="0" applyNumberFormat="1" applyFont="1" applyFill="1" applyBorder="1" applyAlignment="1">
      <alignment horizontal="right" wrapText="1"/>
    </xf>
    <xf numFmtId="4" fontId="8" fillId="5" borderId="1" xfId="0" applyNumberFormat="1" applyFont="1" applyFill="1" applyBorder="1"/>
    <xf numFmtId="4" fontId="8" fillId="5" borderId="14" xfId="0" applyNumberFormat="1" applyFont="1" applyFill="1" applyBorder="1"/>
    <xf numFmtId="4" fontId="8" fillId="5" borderId="52" xfId="0" applyNumberFormat="1" applyFont="1" applyFill="1" applyBorder="1" applyAlignment="1" applyProtection="1">
      <alignment horizontal="right" wrapText="1"/>
      <protection locked="0"/>
    </xf>
    <xf numFmtId="3" fontId="8" fillId="5" borderId="43" xfId="0" applyNumberFormat="1" applyFont="1" applyFill="1" applyBorder="1" applyAlignment="1">
      <alignment horizontal="right" wrapText="1"/>
    </xf>
    <xf numFmtId="3" fontId="8" fillId="5" borderId="43" xfId="0" applyNumberFormat="1" applyFont="1" applyFill="1" applyBorder="1"/>
    <xf numFmtId="3" fontId="7" fillId="5" borderId="43" xfId="0" applyNumberFormat="1" applyFont="1" applyFill="1" applyBorder="1" applyAlignment="1">
      <alignment horizontal="right" wrapText="1"/>
    </xf>
    <xf numFmtId="3" fontId="7" fillId="5" borderId="11" xfId="0" applyNumberFormat="1" applyFont="1" applyFill="1" applyBorder="1"/>
    <xf numFmtId="3" fontId="8" fillId="5" borderId="11" xfId="0" applyNumberFormat="1" applyFont="1" applyFill="1" applyBorder="1"/>
    <xf numFmtId="0" fontId="7" fillId="5" borderId="1" xfId="0" applyFont="1" applyFill="1" applyBorder="1" applyAlignment="1">
      <alignment horizontal="right" wrapText="1"/>
    </xf>
    <xf numFmtId="0" fontId="7" fillId="5" borderId="43" xfId="0" applyFont="1" applyFill="1" applyBorder="1" applyAlignment="1">
      <alignment horizontal="right" wrapText="1"/>
    </xf>
    <xf numFmtId="4" fontId="8" fillId="5" borderId="43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horizontal="right"/>
    </xf>
    <xf numFmtId="171" fontId="8" fillId="0" borderId="43" xfId="0" applyNumberFormat="1" applyFont="1" applyFill="1" applyBorder="1" applyAlignment="1" applyProtection="1">
      <alignment horizontal="right" wrapText="1"/>
      <protection locked="0"/>
    </xf>
    <xf numFmtId="0" fontId="8" fillId="5" borderId="53" xfId="0" applyFont="1" applyFill="1" applyBorder="1" applyAlignment="1" applyProtection="1">
      <alignment wrapText="1"/>
      <protection locked="0"/>
    </xf>
    <xf numFmtId="9" fontId="8" fillId="5" borderId="46" xfId="1" applyNumberFormat="1" applyFont="1" applyFill="1" applyBorder="1" applyAlignment="1" applyProtection="1">
      <alignment horizontal="right" wrapText="1"/>
      <protection locked="0"/>
    </xf>
    <xf numFmtId="9" fontId="8" fillId="5" borderId="7" xfId="1" applyFont="1" applyFill="1" applyBorder="1" applyAlignment="1" applyProtection="1">
      <alignment horizontal="right" wrapText="1"/>
      <protection locked="0"/>
    </xf>
    <xf numFmtId="4" fontId="8" fillId="5" borderId="52" xfId="0" quotePrefix="1" applyNumberFormat="1" applyFont="1" applyFill="1" applyBorder="1" applyAlignment="1" applyProtection="1">
      <alignment horizontal="right" wrapText="1"/>
      <protection locked="0"/>
    </xf>
    <xf numFmtId="0" fontId="8" fillId="5" borderId="53" xfId="0" applyFont="1" applyFill="1" applyBorder="1" applyAlignment="1">
      <alignment wrapText="1"/>
    </xf>
    <xf numFmtId="4" fontId="8" fillId="5" borderId="50" xfId="0" applyNumberFormat="1" applyFont="1" applyFill="1" applyBorder="1" applyAlignment="1" applyProtection="1">
      <alignment horizontal="right" wrapText="1"/>
      <protection locked="0"/>
    </xf>
    <xf numFmtId="4" fontId="7" fillId="5" borderId="50" xfId="0" applyNumberFormat="1" applyFont="1" applyFill="1" applyBorder="1" applyAlignment="1" applyProtection="1">
      <alignment horizontal="right" wrapText="1"/>
      <protection locked="0"/>
    </xf>
    <xf numFmtId="4" fontId="7" fillId="5" borderId="52" xfId="0" applyNumberFormat="1" applyFont="1" applyFill="1" applyBorder="1" applyAlignment="1" applyProtection="1">
      <alignment horizontal="right" wrapText="1"/>
      <protection locked="0"/>
    </xf>
    <xf numFmtId="0" fontId="9" fillId="0" borderId="54" xfId="0" applyFont="1" applyFill="1" applyBorder="1" applyAlignment="1" applyProtection="1">
      <alignment wrapText="1"/>
      <protection locked="0"/>
    </xf>
    <xf numFmtId="0" fontId="8" fillId="4" borderId="53" xfId="0" applyFont="1" applyFill="1" applyBorder="1" applyAlignment="1">
      <alignment wrapText="1"/>
    </xf>
    <xf numFmtId="171" fontId="8" fillId="5" borderId="43" xfId="0" quotePrefix="1" applyNumberFormat="1" applyFont="1" applyFill="1" applyBorder="1" applyAlignment="1" applyProtection="1">
      <alignment horizontal="right" wrapText="1"/>
      <protection locked="0"/>
    </xf>
    <xf numFmtId="4" fontId="8" fillId="5" borderId="51" xfId="0" quotePrefix="1" applyNumberFormat="1" applyFont="1" applyFill="1" applyBorder="1" applyAlignment="1" applyProtection="1">
      <alignment horizontal="right" wrapText="1"/>
      <protection locked="0"/>
    </xf>
    <xf numFmtId="4" fontId="8" fillId="5" borderId="51" xfId="0" applyNumberFormat="1" applyFont="1" applyFill="1" applyBorder="1" applyAlignment="1" applyProtection="1">
      <alignment horizontal="right" wrapText="1"/>
      <protection locked="0"/>
    </xf>
    <xf numFmtId="9" fontId="8" fillId="7" borderId="1" xfId="1" applyFont="1" applyFill="1" applyBorder="1" applyAlignment="1">
      <alignment horizontal="right"/>
    </xf>
    <xf numFmtId="9" fontId="8" fillId="10" borderId="1" xfId="1" applyFont="1" applyFill="1" applyBorder="1" applyAlignment="1">
      <alignment horizontal="right"/>
    </xf>
    <xf numFmtId="9" fontId="8" fillId="11" borderId="1" xfId="1" applyFont="1" applyFill="1" applyBorder="1" applyAlignment="1">
      <alignment horizontal="right"/>
    </xf>
    <xf numFmtId="4" fontId="7" fillId="5" borderId="51" xfId="0" applyNumberFormat="1" applyFont="1" applyFill="1" applyBorder="1" applyAlignment="1" applyProtection="1">
      <alignment horizontal="right" wrapText="1"/>
      <protection locked="0"/>
    </xf>
    <xf numFmtId="4" fontId="8" fillId="0" borderId="2" xfId="0" applyNumberFormat="1" applyFont="1" applyFill="1" applyBorder="1"/>
    <xf numFmtId="4" fontId="8" fillId="0" borderId="1" xfId="0" applyNumberFormat="1" applyFont="1" applyFill="1" applyBorder="1"/>
    <xf numFmtId="0" fontId="9" fillId="0" borderId="55" xfId="0" applyFont="1" applyFill="1" applyBorder="1" applyAlignment="1" applyProtection="1">
      <alignment wrapText="1"/>
      <protection locked="0"/>
    </xf>
    <xf numFmtId="4" fontId="7" fillId="0" borderId="56" xfId="0" applyNumberFormat="1" applyFont="1" applyFill="1" applyBorder="1" applyAlignment="1" applyProtection="1">
      <alignment horizontal="right" wrapText="1"/>
      <protection locked="0"/>
    </xf>
    <xf numFmtId="0" fontId="9" fillId="0" borderId="57" xfId="0" applyFont="1" applyFill="1" applyBorder="1" applyAlignment="1" applyProtection="1">
      <alignment wrapText="1"/>
      <protection locked="0"/>
    </xf>
    <xf numFmtId="4" fontId="7" fillId="0" borderId="58" xfId="0" applyNumberFormat="1" applyFont="1" applyFill="1" applyBorder="1" applyAlignment="1" applyProtection="1">
      <alignment horizontal="right" wrapText="1"/>
      <protection locked="0"/>
    </xf>
    <xf numFmtId="4" fontId="8" fillId="0" borderId="57" xfId="0" applyNumberFormat="1" applyFont="1" applyFill="1" applyBorder="1" applyAlignment="1" applyProtection="1">
      <alignment horizontal="right" wrapText="1"/>
      <protection locked="0"/>
    </xf>
    <xf numFmtId="4" fontId="8" fillId="5" borderId="57" xfId="0" applyNumberFormat="1" applyFont="1" applyFill="1" applyBorder="1" applyAlignment="1" applyProtection="1">
      <alignment horizontal="right" wrapText="1"/>
      <protection locked="0"/>
    </xf>
    <xf numFmtId="4" fontId="8" fillId="0" borderId="58" xfId="0" applyNumberFormat="1" applyFont="1" applyFill="1" applyBorder="1" applyAlignment="1" applyProtection="1">
      <alignment horizontal="right" wrapText="1"/>
      <protection locked="0"/>
    </xf>
    <xf numFmtId="4" fontId="7" fillId="0" borderId="57" xfId="0" applyNumberFormat="1" applyFont="1" applyFill="1" applyBorder="1" applyAlignment="1" applyProtection="1">
      <alignment horizontal="right" wrapText="1"/>
      <protection locked="0"/>
    </xf>
    <xf numFmtId="9" fontId="8" fillId="0" borderId="57" xfId="1" applyFont="1" applyFill="1" applyBorder="1" applyAlignment="1" applyProtection="1">
      <alignment horizontal="right" wrapText="1"/>
      <protection locked="0"/>
    </xf>
    <xf numFmtId="165" fontId="8" fillId="0" borderId="57" xfId="1" applyNumberFormat="1" applyFont="1" applyFill="1" applyBorder="1" applyAlignment="1" applyProtection="1">
      <alignment horizontal="right" wrapText="1"/>
      <protection locked="0"/>
    </xf>
    <xf numFmtId="165" fontId="8" fillId="0" borderId="57" xfId="1" quotePrefix="1" applyNumberFormat="1" applyFont="1" applyFill="1" applyBorder="1" applyAlignment="1" applyProtection="1">
      <alignment horizontal="right" wrapText="1"/>
      <protection locked="0"/>
    </xf>
    <xf numFmtId="4" fontId="8" fillId="0" borderId="57" xfId="0" quotePrefix="1" applyNumberFormat="1" applyFont="1" applyFill="1" applyBorder="1" applyAlignment="1" applyProtection="1">
      <alignment horizontal="right" wrapText="1"/>
      <protection locked="0"/>
    </xf>
    <xf numFmtId="4" fontId="7" fillId="0" borderId="57" xfId="0" applyNumberFormat="1" applyFont="1" applyFill="1" applyBorder="1" applyAlignment="1" applyProtection="1">
      <alignment wrapText="1"/>
      <protection locked="0"/>
    </xf>
    <xf numFmtId="0" fontId="7" fillId="0" borderId="57" xfId="0" applyFont="1" applyFill="1" applyBorder="1" applyAlignment="1" applyProtection="1">
      <alignment horizontal="right" wrapText="1"/>
      <protection locked="0"/>
    </xf>
    <xf numFmtId="0" fontId="8" fillId="5" borderId="53" xfId="0" applyFont="1" applyFill="1" applyBorder="1" applyAlignment="1">
      <alignment horizontal="right" wrapText="1"/>
    </xf>
    <xf numFmtId="0" fontId="9" fillId="0" borderId="50" xfId="0" applyFont="1" applyFill="1" applyBorder="1" applyAlignment="1" applyProtection="1">
      <alignment wrapText="1"/>
      <protection locked="0"/>
    </xf>
    <xf numFmtId="4" fontId="7" fillId="0" borderId="59" xfId="0" applyNumberFormat="1" applyFont="1" applyFill="1" applyBorder="1" applyAlignment="1" applyProtection="1">
      <alignment horizontal="right" wrapText="1"/>
      <protection locked="0"/>
    </xf>
    <xf numFmtId="4" fontId="7" fillId="5" borderId="59" xfId="0" applyNumberFormat="1" applyFont="1" applyFill="1" applyBorder="1" applyAlignment="1" applyProtection="1">
      <alignment horizontal="right" wrapText="1"/>
      <protection locked="0"/>
    </xf>
    <xf numFmtId="0" fontId="9" fillId="0" borderId="46" xfId="0" applyFont="1" applyFill="1" applyBorder="1" applyAlignment="1" applyProtection="1">
      <alignment wrapText="1"/>
      <protection locked="0"/>
    </xf>
    <xf numFmtId="4" fontId="8" fillId="0" borderId="55" xfId="0" applyNumberFormat="1" applyFont="1" applyFill="1" applyBorder="1" applyAlignment="1" applyProtection="1">
      <alignment horizontal="right" wrapText="1"/>
      <protection locked="0"/>
    </xf>
    <xf numFmtId="4" fontId="8" fillId="0" borderId="55" xfId="0" quotePrefix="1" applyNumberFormat="1" applyFont="1" applyFill="1" applyBorder="1" applyAlignment="1" applyProtection="1">
      <alignment horizontal="right" wrapText="1"/>
      <protection locked="0"/>
    </xf>
    <xf numFmtId="4" fontId="8" fillId="0" borderId="56" xfId="0" applyNumberFormat="1" applyFont="1" applyFill="1" applyBorder="1" applyAlignment="1" applyProtection="1">
      <alignment horizontal="right" wrapText="1"/>
      <protection locked="0"/>
    </xf>
    <xf numFmtId="4" fontId="7" fillId="0" borderId="55" xfId="0" applyNumberFormat="1" applyFont="1" applyFill="1" applyBorder="1" applyAlignment="1" applyProtection="1">
      <alignment horizontal="right" wrapText="1"/>
      <protection locked="0"/>
    </xf>
    <xf numFmtId="9" fontId="8" fillId="5" borderId="1" xfId="1" applyNumberFormat="1" applyFont="1" applyFill="1" applyBorder="1" applyAlignment="1" applyProtection="1">
      <alignment horizontal="right" wrapText="1"/>
      <protection locked="0"/>
    </xf>
    <xf numFmtId="4" fontId="8" fillId="5" borderId="55" xfId="0" applyNumberFormat="1" applyFont="1" applyFill="1" applyBorder="1" applyAlignment="1" applyProtection="1">
      <alignment horizontal="right" wrapText="1"/>
      <protection locked="0"/>
    </xf>
    <xf numFmtId="4" fontId="8" fillId="5" borderId="55" xfId="0" quotePrefix="1" applyNumberFormat="1" applyFont="1" applyFill="1" applyBorder="1" applyAlignment="1" applyProtection="1">
      <alignment horizontal="right" wrapText="1"/>
      <protection locked="0"/>
    </xf>
    <xf numFmtId="4" fontId="7" fillId="5" borderId="55" xfId="0" applyNumberFormat="1" applyFont="1" applyFill="1" applyBorder="1" applyAlignment="1" applyProtection="1">
      <alignment horizontal="right" wrapText="1"/>
      <protection locked="0"/>
    </xf>
    <xf numFmtId="4" fontId="8" fillId="5" borderId="59" xfId="0" applyNumberFormat="1" applyFont="1" applyFill="1" applyBorder="1" applyAlignment="1" applyProtection="1">
      <alignment horizontal="right" wrapText="1"/>
      <protection locked="0"/>
    </xf>
    <xf numFmtId="165" fontId="8" fillId="0" borderId="53" xfId="1" applyNumberFormat="1" applyFont="1" applyFill="1" applyBorder="1" applyAlignment="1" applyProtection="1">
      <alignment horizontal="right" wrapText="1"/>
      <protection locked="0"/>
    </xf>
    <xf numFmtId="9" fontId="8" fillId="0" borderId="53" xfId="1" applyNumberFormat="1" applyFont="1" applyFill="1" applyBorder="1" applyAlignment="1" applyProtection="1">
      <alignment horizontal="right" wrapText="1"/>
      <protection locked="0"/>
    </xf>
    <xf numFmtId="165" fontId="8" fillId="5" borderId="53" xfId="1" applyNumberFormat="1" applyFont="1" applyFill="1" applyBorder="1" applyAlignment="1" applyProtection="1">
      <alignment horizontal="right" wrapText="1"/>
      <protection locked="0"/>
    </xf>
    <xf numFmtId="0" fontId="8" fillId="0" borderId="53" xfId="0" applyFont="1" applyFill="1" applyBorder="1" applyAlignment="1" applyProtection="1">
      <alignment horizontal="right" wrapText="1"/>
      <protection locked="0"/>
    </xf>
    <xf numFmtId="4" fontId="65" fillId="0" borderId="1" xfId="0" applyNumberFormat="1" applyFont="1" applyFill="1" applyBorder="1" applyAlignment="1" applyProtection="1">
      <alignment wrapText="1"/>
      <protection locked="0"/>
    </xf>
    <xf numFmtId="9" fontId="65" fillId="0" borderId="1" xfId="1" applyNumberFormat="1" applyFont="1" applyFill="1" applyBorder="1" applyAlignment="1" applyProtection="1">
      <alignment horizontal="right" wrapText="1"/>
      <protection locked="0"/>
    </xf>
    <xf numFmtId="0" fontId="64" fillId="0" borderId="1" xfId="0" applyFont="1" applyFill="1" applyBorder="1" applyAlignment="1" applyProtection="1">
      <alignment horizontal="right" wrapText="1"/>
      <protection locked="0"/>
    </xf>
    <xf numFmtId="165" fontId="65" fillId="0" borderId="1" xfId="1" applyNumberFormat="1" applyFont="1" applyFill="1" applyBorder="1" applyAlignment="1" applyProtection="1">
      <alignment horizontal="right" wrapText="1"/>
      <protection locked="0"/>
    </xf>
    <xf numFmtId="0" fontId="64" fillId="0" borderId="43" xfId="0" applyFont="1" applyFill="1" applyBorder="1" applyAlignment="1" applyProtection="1">
      <alignment horizontal="right" wrapText="1"/>
      <protection locked="0"/>
    </xf>
    <xf numFmtId="9" fontId="65" fillId="0" borderId="53" xfId="1" applyNumberFormat="1" applyFont="1" applyFill="1" applyBorder="1" applyAlignment="1" applyProtection="1">
      <alignment horizontal="right" wrapText="1"/>
      <protection locked="0"/>
    </xf>
    <xf numFmtId="0" fontId="65" fillId="0" borderId="53" xfId="0" applyFont="1" applyFill="1" applyBorder="1" applyAlignment="1" applyProtection="1">
      <alignment horizontal="right" wrapText="1"/>
      <protection locked="0"/>
    </xf>
    <xf numFmtId="0" fontId="65" fillId="0" borderId="55" xfId="0" applyFont="1" applyFill="1" applyBorder="1" applyAlignment="1" applyProtection="1">
      <alignment wrapText="1"/>
      <protection locked="0"/>
    </xf>
    <xf numFmtId="0" fontId="65" fillId="0" borderId="46" xfId="0" applyFont="1" applyFill="1" applyBorder="1" applyAlignment="1" applyProtection="1">
      <alignment wrapText="1"/>
      <protection locked="0"/>
    </xf>
    <xf numFmtId="0" fontId="65" fillId="0" borderId="50" xfId="0" applyFont="1" applyFill="1" applyBorder="1" applyAlignment="1" applyProtection="1">
      <alignment wrapText="1"/>
      <protection locked="0"/>
    </xf>
    <xf numFmtId="9" fontId="65" fillId="0" borderId="43" xfId="1" applyFont="1" applyFill="1" applyBorder="1" applyAlignment="1" applyProtection="1">
      <alignment horizontal="right" wrapText="1"/>
      <protection locked="0"/>
    </xf>
    <xf numFmtId="0" fontId="65" fillId="0" borderId="5" xfId="0" applyFont="1" applyFill="1" applyBorder="1" applyAlignment="1" applyProtection="1">
      <alignment horizontal="right" wrapText="1"/>
      <protection locked="0"/>
    </xf>
    <xf numFmtId="165" fontId="65" fillId="0" borderId="1" xfId="1" quotePrefix="1" applyNumberFormat="1" applyFont="1" applyFill="1" applyBorder="1" applyAlignment="1" applyProtection="1">
      <alignment horizontal="right" wrapText="1"/>
      <protection locked="0"/>
    </xf>
    <xf numFmtId="4" fontId="65" fillId="5" borderId="1" xfId="0" applyNumberFormat="1" applyFont="1" applyFill="1" applyBorder="1" applyAlignment="1" applyProtection="1">
      <alignment horizontal="right" wrapText="1"/>
      <protection locked="0"/>
    </xf>
    <xf numFmtId="9" fontId="65" fillId="0" borderId="1" xfId="1" applyFont="1" applyFill="1" applyBorder="1" applyAlignment="1" applyProtection="1">
      <alignment horizontal="right" wrapText="1"/>
      <protection locked="0"/>
    </xf>
    <xf numFmtId="0" fontId="64" fillId="5" borderId="43" xfId="0" applyFont="1" applyFill="1" applyBorder="1" applyAlignment="1" applyProtection="1">
      <alignment horizontal="right" wrapText="1"/>
      <protection locked="0"/>
    </xf>
    <xf numFmtId="4" fontId="65" fillId="5" borderId="51" xfId="0" applyNumberFormat="1" applyFont="1" applyFill="1" applyBorder="1" applyAlignment="1" applyProtection="1">
      <alignment horizontal="right" wrapText="1"/>
      <protection locked="0"/>
    </xf>
    <xf numFmtId="165" fontId="64" fillId="0" borderId="1" xfId="1" applyNumberFormat="1" applyFont="1" applyFill="1" applyBorder="1" applyAlignment="1" applyProtection="1">
      <alignment horizontal="right" wrapText="1"/>
      <protection locked="0"/>
    </xf>
    <xf numFmtId="4" fontId="65" fillId="0" borderId="43" xfId="0" applyNumberFormat="1" applyFont="1" applyFill="1" applyBorder="1" applyAlignment="1" applyProtection="1">
      <alignment horizontal="right" wrapText="1"/>
      <protection locked="0"/>
    </xf>
    <xf numFmtId="0" fontId="65" fillId="0" borderId="1" xfId="0" applyFont="1" applyFill="1" applyBorder="1" applyAlignment="1" applyProtection="1">
      <alignment horizontal="right" wrapText="1"/>
      <protection locked="0"/>
    </xf>
    <xf numFmtId="0" fontId="65" fillId="0" borderId="43" xfId="0" applyFont="1" applyFill="1" applyBorder="1" applyAlignment="1" applyProtection="1">
      <alignment horizontal="right" wrapText="1"/>
      <protection locked="0"/>
    </xf>
    <xf numFmtId="0" fontId="64" fillId="4" borderId="43" xfId="0" applyFont="1" applyFill="1" applyBorder="1" applyAlignment="1">
      <alignment horizontal="right" wrapText="1"/>
    </xf>
    <xf numFmtId="0" fontId="64" fillId="4" borderId="1" xfId="0" applyFont="1" applyFill="1" applyBorder="1" applyAlignment="1">
      <alignment horizontal="right" wrapText="1"/>
    </xf>
    <xf numFmtId="3" fontId="64" fillId="5" borderId="11" xfId="0" applyNumberFormat="1" applyFont="1" applyFill="1" applyBorder="1"/>
    <xf numFmtId="0" fontId="65" fillId="5" borderId="53" xfId="0" applyFont="1" applyFill="1" applyBorder="1" applyAlignment="1">
      <alignment horizontal="right" wrapText="1"/>
    </xf>
    <xf numFmtId="0" fontId="64" fillId="5" borderId="1" xfId="0" applyFont="1" applyFill="1" applyBorder="1" applyAlignment="1">
      <alignment horizontal="right" wrapText="1"/>
    </xf>
    <xf numFmtId="0" fontId="65" fillId="5" borderId="1" xfId="0" applyFont="1" applyFill="1" applyBorder="1" applyAlignment="1">
      <alignment horizontal="right" wrapText="1"/>
    </xf>
    <xf numFmtId="4" fontId="64" fillId="5" borderId="1" xfId="0" applyNumberFormat="1" applyFont="1" applyFill="1" applyBorder="1" applyAlignment="1">
      <alignment horizontal="right" wrapText="1"/>
    </xf>
    <xf numFmtId="9" fontId="65" fillId="7" borderId="1" xfId="1" applyNumberFormat="1" applyFont="1" applyFill="1" applyBorder="1" applyAlignment="1" applyProtection="1">
      <alignment horizontal="right" wrapText="1"/>
      <protection locked="0"/>
    </xf>
    <xf numFmtId="9" fontId="65" fillId="7" borderId="1" xfId="1" applyFont="1" applyFill="1" applyBorder="1" applyAlignment="1">
      <alignment horizontal="right"/>
    </xf>
    <xf numFmtId="0" fontId="64" fillId="7" borderId="1" xfId="0" applyFont="1" applyFill="1" applyBorder="1" applyAlignment="1">
      <alignment horizontal="right" wrapText="1"/>
    </xf>
    <xf numFmtId="0" fontId="65" fillId="7" borderId="1" xfId="0" applyFont="1" applyFill="1" applyBorder="1" applyAlignment="1">
      <alignment horizontal="right"/>
    </xf>
    <xf numFmtId="0" fontId="65" fillId="7" borderId="1" xfId="0" applyFont="1" applyFill="1" applyBorder="1" applyAlignment="1">
      <alignment horizontal="right" wrapText="1"/>
    </xf>
    <xf numFmtId="4" fontId="64" fillId="7" borderId="1" xfId="0" applyNumberFormat="1" applyFont="1" applyFill="1" applyBorder="1" applyAlignment="1">
      <alignment horizontal="right" wrapText="1"/>
    </xf>
    <xf numFmtId="9" fontId="65" fillId="11" borderId="1" xfId="1" applyNumberFormat="1" applyFont="1" applyFill="1" applyBorder="1" applyAlignment="1" applyProtection="1">
      <alignment horizontal="right" wrapText="1"/>
      <protection locked="0"/>
    </xf>
    <xf numFmtId="9" fontId="65" fillId="11" borderId="1" xfId="1" applyFont="1" applyFill="1" applyBorder="1" applyAlignment="1">
      <alignment horizontal="right"/>
    </xf>
    <xf numFmtId="0" fontId="64" fillId="11" borderId="1" xfId="0" applyFont="1" applyFill="1" applyBorder="1" applyAlignment="1">
      <alignment horizontal="right" wrapText="1"/>
    </xf>
    <xf numFmtId="0" fontId="65" fillId="11" borderId="1" xfId="0" applyFont="1" applyFill="1" applyBorder="1" applyAlignment="1">
      <alignment horizontal="right"/>
    </xf>
    <xf numFmtId="0" fontId="65" fillId="11" borderId="1" xfId="0" applyFont="1" applyFill="1" applyBorder="1" applyAlignment="1">
      <alignment horizontal="right" wrapText="1"/>
    </xf>
    <xf numFmtId="4" fontId="64" fillId="11" borderId="1" xfId="0" applyNumberFormat="1" applyFont="1" applyFill="1" applyBorder="1" applyAlignment="1">
      <alignment horizontal="right" wrapText="1"/>
    </xf>
    <xf numFmtId="9" fontId="65" fillId="10" borderId="1" xfId="1" applyNumberFormat="1" applyFont="1" applyFill="1" applyBorder="1" applyAlignment="1" applyProtection="1">
      <alignment horizontal="right" wrapText="1"/>
      <protection locked="0"/>
    </xf>
    <xf numFmtId="9" fontId="65" fillId="10" borderId="1" xfId="1" applyFont="1" applyFill="1" applyBorder="1" applyAlignment="1">
      <alignment horizontal="right"/>
    </xf>
    <xf numFmtId="0" fontId="64" fillId="10" borderId="1" xfId="0" applyFont="1" applyFill="1" applyBorder="1" applyAlignment="1">
      <alignment horizontal="right" wrapText="1"/>
    </xf>
    <xf numFmtId="0" fontId="65" fillId="10" borderId="1" xfId="0" applyFont="1" applyFill="1" applyBorder="1" applyAlignment="1">
      <alignment horizontal="right"/>
    </xf>
    <xf numFmtId="4" fontId="65" fillId="10" borderId="2" xfId="0" applyNumberFormat="1" applyFont="1" applyFill="1" applyBorder="1"/>
    <xf numFmtId="0" fontId="65" fillId="10" borderId="1" xfId="0" applyFont="1" applyFill="1" applyBorder="1" applyAlignment="1">
      <alignment horizontal="right" wrapText="1"/>
    </xf>
    <xf numFmtId="4" fontId="64" fillId="10" borderId="1" xfId="0" applyNumberFormat="1" applyFont="1" applyFill="1" applyBorder="1" applyAlignment="1">
      <alignment horizontal="right" wrapText="1"/>
    </xf>
    <xf numFmtId="4" fontId="64" fillId="13" borderId="1" xfId="0" applyNumberFormat="1" applyFont="1" applyFill="1" applyBorder="1" applyAlignment="1">
      <alignment horizontal="right"/>
    </xf>
    <xf numFmtId="9" fontId="65" fillId="13" borderId="2" xfId="1" applyFont="1" applyFill="1" applyBorder="1"/>
    <xf numFmtId="0" fontId="64" fillId="13" borderId="1" xfId="0" applyFont="1" applyFill="1" applyBorder="1" applyAlignment="1">
      <alignment horizontal="right" wrapText="1"/>
    </xf>
    <xf numFmtId="9" fontId="65" fillId="13" borderId="1" xfId="1" applyNumberFormat="1" applyFont="1" applyFill="1" applyBorder="1" applyAlignment="1" applyProtection="1">
      <alignment horizontal="right" wrapText="1"/>
      <protection locked="0"/>
    </xf>
    <xf numFmtId="0" fontId="65" fillId="13" borderId="1" xfId="0" applyFont="1" applyFill="1" applyBorder="1" applyAlignment="1">
      <alignment horizontal="right"/>
    </xf>
    <xf numFmtId="0" fontId="65" fillId="13" borderId="1" xfId="0" applyFont="1" applyFill="1" applyBorder="1" applyAlignment="1">
      <alignment horizontal="right" wrapText="1"/>
    </xf>
    <xf numFmtId="4" fontId="64" fillId="13" borderId="1" xfId="0" applyNumberFormat="1" applyFont="1" applyFill="1" applyBorder="1" applyAlignment="1">
      <alignment horizontal="right" wrapText="1"/>
    </xf>
    <xf numFmtId="4" fontId="8" fillId="0" borderId="51" xfId="0" applyNumberFormat="1" applyFont="1" applyFill="1" applyBorder="1" applyAlignment="1" applyProtection="1">
      <alignment horizontal="right" wrapText="1"/>
      <protection locked="0"/>
    </xf>
    <xf numFmtId="9" fontId="7" fillId="4" borderId="1" xfId="0" applyNumberFormat="1" applyFont="1" applyFill="1" applyBorder="1" applyAlignment="1">
      <alignment wrapText="1"/>
    </xf>
    <xf numFmtId="0" fontId="65" fillId="5" borderId="53" xfId="0" applyFont="1" applyFill="1" applyBorder="1" applyAlignment="1" applyProtection="1">
      <alignment horizontal="right" wrapText="1"/>
      <protection locked="0"/>
    </xf>
    <xf numFmtId="0" fontId="8" fillId="5" borderId="53" xfId="0" applyFont="1" applyFill="1" applyBorder="1" applyAlignment="1" applyProtection="1">
      <alignment horizontal="right" wrapText="1"/>
      <protection locked="0"/>
    </xf>
    <xf numFmtId="0" fontId="8" fillId="5" borderId="51" xfId="0" applyFont="1" applyFill="1" applyBorder="1" applyAlignment="1" applyProtection="1">
      <alignment horizontal="right" wrapText="1"/>
      <protection locked="0"/>
    </xf>
    <xf numFmtId="9" fontId="8" fillId="5" borderId="2" xfId="1" applyFont="1" applyFill="1" applyBorder="1" applyAlignment="1" applyProtection="1">
      <alignment horizontal="right"/>
      <protection locked="0"/>
    </xf>
    <xf numFmtId="0" fontId="64" fillId="5" borderId="53" xfId="0" applyFont="1" applyFill="1" applyBorder="1" applyAlignment="1" applyProtection="1">
      <alignment horizontal="right" wrapText="1"/>
      <protection locked="0"/>
    </xf>
    <xf numFmtId="0" fontId="7" fillId="5" borderId="53" xfId="0" applyFont="1" applyFill="1" applyBorder="1" applyAlignment="1" applyProtection="1">
      <alignment horizontal="right" wrapText="1"/>
      <protection locked="0"/>
    </xf>
    <xf numFmtId="0" fontId="7" fillId="5" borderId="51" xfId="0" applyFont="1" applyFill="1" applyBorder="1" applyAlignment="1" applyProtection="1">
      <alignment horizontal="right" wrapText="1"/>
      <protection locked="0"/>
    </xf>
    <xf numFmtId="0" fontId="7" fillId="5" borderId="53" xfId="0" applyFont="1" applyFill="1" applyBorder="1" applyAlignment="1">
      <alignment wrapText="1"/>
    </xf>
    <xf numFmtId="0" fontId="11" fillId="13" borderId="10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 applyProtection="1">
      <alignment wrapText="1"/>
      <protection locked="0"/>
    </xf>
    <xf numFmtId="0" fontId="8" fillId="4" borderId="10" xfId="0" applyFont="1" applyFill="1" applyBorder="1" applyAlignment="1">
      <alignment wrapText="1"/>
    </xf>
    <xf numFmtId="3" fontId="8" fillId="5" borderId="9" xfId="0" applyNumberFormat="1" applyFont="1" applyFill="1" applyBorder="1"/>
    <xf numFmtId="9" fontId="8" fillId="0" borderId="10" xfId="1" applyNumberFormat="1" applyFont="1" applyFill="1" applyBorder="1" applyAlignment="1" applyProtection="1">
      <alignment horizontal="right" wrapText="1"/>
      <protection locked="0"/>
    </xf>
    <xf numFmtId="3" fontId="65" fillId="5" borderId="53" xfId="0" applyNumberFormat="1" applyFont="1" applyFill="1" applyBorder="1" applyAlignment="1">
      <alignment horizontal="right" wrapText="1"/>
    </xf>
    <xf numFmtId="3" fontId="8" fillId="5" borderId="53" xfId="0" applyNumberFormat="1" applyFont="1" applyFill="1" applyBorder="1" applyAlignment="1">
      <alignment horizontal="right" wrapText="1"/>
    </xf>
    <xf numFmtId="0" fontId="8" fillId="4" borderId="53" xfId="0" applyFont="1" applyFill="1" applyBorder="1" applyAlignment="1">
      <alignment horizontal="right" wrapText="1"/>
    </xf>
  </cellXfs>
  <cellStyles count="160">
    <cellStyle name="20 % - Akzent1 2" xfId="7" xr:uid="{00000000-0005-0000-0000-000000000000}"/>
    <cellStyle name="20 % - Akzent2 2" xfId="8" xr:uid="{00000000-0005-0000-0000-000001000000}"/>
    <cellStyle name="20 % - Akzent3 2" xfId="9" xr:uid="{00000000-0005-0000-0000-000002000000}"/>
    <cellStyle name="20 % - Akzent4 2" xfId="10" xr:uid="{00000000-0005-0000-0000-000003000000}"/>
    <cellStyle name="20 % - Akzent5 2" xfId="11" xr:uid="{00000000-0005-0000-0000-000004000000}"/>
    <cellStyle name="20 % - Akzent6 2" xfId="12" xr:uid="{00000000-0005-0000-0000-000005000000}"/>
    <cellStyle name="20% - Accent1" xfId="94" xr:uid="{00000000-0005-0000-0000-000006000000}"/>
    <cellStyle name="20% - Accent2" xfId="95" xr:uid="{00000000-0005-0000-0000-000007000000}"/>
    <cellStyle name="20% - Accent3" xfId="96" xr:uid="{00000000-0005-0000-0000-000008000000}"/>
    <cellStyle name="20% - Accent4" xfId="97" xr:uid="{00000000-0005-0000-0000-000009000000}"/>
    <cellStyle name="20% - Accent5" xfId="98" xr:uid="{00000000-0005-0000-0000-00000A000000}"/>
    <cellStyle name="20% - Accent6" xfId="99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 2" xfId="19" xr:uid="{00000000-0005-0000-0000-000012000000}"/>
    <cellStyle name="40 % - Akzent2 2" xfId="20" xr:uid="{00000000-0005-0000-0000-000013000000}"/>
    <cellStyle name="40 % - Akzent3 2" xfId="21" xr:uid="{00000000-0005-0000-0000-000014000000}"/>
    <cellStyle name="40 % - Akzent4 2" xfId="22" xr:uid="{00000000-0005-0000-0000-000015000000}"/>
    <cellStyle name="40 % - Akzent5 2" xfId="23" xr:uid="{00000000-0005-0000-0000-000016000000}"/>
    <cellStyle name="40 % - Akzent6 2" xfId="24" xr:uid="{00000000-0005-0000-0000-000017000000}"/>
    <cellStyle name="40% - Accent1" xfId="100" xr:uid="{00000000-0005-0000-0000-000018000000}"/>
    <cellStyle name="40% - Accent2" xfId="101" xr:uid="{00000000-0005-0000-0000-000019000000}"/>
    <cellStyle name="40% - Accent3" xfId="102" xr:uid="{00000000-0005-0000-0000-00001A000000}"/>
    <cellStyle name="40% - Accent4" xfId="103" xr:uid="{00000000-0005-0000-0000-00001B000000}"/>
    <cellStyle name="40% - Accent5" xfId="104" xr:uid="{00000000-0005-0000-0000-00001C000000}"/>
    <cellStyle name="40% - Accent6" xfId="105" xr:uid="{00000000-0005-0000-0000-00001D000000}"/>
    <cellStyle name="40% - Akzent1" xfId="25" xr:uid="{00000000-0005-0000-0000-00001E000000}"/>
    <cellStyle name="40% - Akzent2" xfId="26" xr:uid="{00000000-0005-0000-0000-00001F000000}"/>
    <cellStyle name="40% - Akzent3" xfId="27" xr:uid="{00000000-0005-0000-0000-000020000000}"/>
    <cellStyle name="40% - Akzent4" xfId="28" xr:uid="{00000000-0005-0000-0000-000021000000}"/>
    <cellStyle name="40% - Akzent5" xfId="29" xr:uid="{00000000-0005-0000-0000-000022000000}"/>
    <cellStyle name="40% - Akzent6" xfId="30" xr:uid="{00000000-0005-0000-0000-000023000000}"/>
    <cellStyle name="60 % - Akzent1 2" xfId="31" xr:uid="{00000000-0005-0000-0000-000024000000}"/>
    <cellStyle name="60 % - Akzent2 2" xfId="32" xr:uid="{00000000-0005-0000-0000-000025000000}"/>
    <cellStyle name="60 % - Akzent3 2" xfId="33" xr:uid="{00000000-0005-0000-0000-000026000000}"/>
    <cellStyle name="60 % - Akzent4 2" xfId="34" xr:uid="{00000000-0005-0000-0000-000027000000}"/>
    <cellStyle name="60 % - Akzent5 2" xfId="35" xr:uid="{00000000-0005-0000-0000-000028000000}"/>
    <cellStyle name="60 % - Akzent6 2" xfId="36" xr:uid="{00000000-0005-0000-0000-000029000000}"/>
    <cellStyle name="60% - Accent1" xfId="106" xr:uid="{00000000-0005-0000-0000-00002A000000}"/>
    <cellStyle name="60% - Accent2" xfId="107" xr:uid="{00000000-0005-0000-0000-00002B000000}"/>
    <cellStyle name="60% - Accent3" xfId="108" xr:uid="{00000000-0005-0000-0000-00002C000000}"/>
    <cellStyle name="60% - Accent4" xfId="109" xr:uid="{00000000-0005-0000-0000-00002D000000}"/>
    <cellStyle name="60% - Accent5" xfId="110" xr:uid="{00000000-0005-0000-0000-00002E000000}"/>
    <cellStyle name="60% - Accent6" xfId="111" xr:uid="{00000000-0005-0000-0000-00002F000000}"/>
    <cellStyle name="60% - Akzent1" xfId="37" xr:uid="{00000000-0005-0000-0000-000030000000}"/>
    <cellStyle name="60% - Akzent2" xfId="38" xr:uid="{00000000-0005-0000-0000-000031000000}"/>
    <cellStyle name="60% - Akzent3" xfId="39" xr:uid="{00000000-0005-0000-0000-000032000000}"/>
    <cellStyle name="60% - Akzent4" xfId="40" xr:uid="{00000000-0005-0000-0000-000033000000}"/>
    <cellStyle name="60% - Akzent5" xfId="41" xr:uid="{00000000-0005-0000-0000-000034000000}"/>
    <cellStyle name="60% - Akzent6" xfId="42" xr:uid="{00000000-0005-0000-0000-000035000000}"/>
    <cellStyle name="Accent1" xfId="112" xr:uid="{00000000-0005-0000-0000-000036000000}"/>
    <cellStyle name="Accent2" xfId="113" xr:uid="{00000000-0005-0000-0000-000037000000}"/>
    <cellStyle name="Accent3" xfId="114" xr:uid="{00000000-0005-0000-0000-000038000000}"/>
    <cellStyle name="Accent4" xfId="115" xr:uid="{00000000-0005-0000-0000-000039000000}"/>
    <cellStyle name="Accent5" xfId="116" xr:uid="{00000000-0005-0000-0000-00003A000000}"/>
    <cellStyle name="Accent6" xfId="117" xr:uid="{00000000-0005-0000-0000-00003B000000}"/>
    <cellStyle name="Akzent1 2" xfId="43" xr:uid="{00000000-0005-0000-0000-00003C000000}"/>
    <cellStyle name="Akzent2 2" xfId="44" xr:uid="{00000000-0005-0000-0000-00003D000000}"/>
    <cellStyle name="Akzent3 2" xfId="45" xr:uid="{00000000-0005-0000-0000-00003E000000}"/>
    <cellStyle name="Akzent4 2" xfId="46" xr:uid="{00000000-0005-0000-0000-00003F000000}"/>
    <cellStyle name="Akzent5 2" xfId="47" xr:uid="{00000000-0005-0000-0000-000040000000}"/>
    <cellStyle name="Akzent6 2" xfId="48" xr:uid="{00000000-0005-0000-0000-000041000000}"/>
    <cellStyle name="Ausgabe 2" xfId="49" xr:uid="{00000000-0005-0000-0000-000042000000}"/>
    <cellStyle name="Avant10" xfId="69" xr:uid="{00000000-0005-0000-0000-000043000000}"/>
    <cellStyle name="Bad" xfId="118" xr:uid="{00000000-0005-0000-0000-000044000000}"/>
    <cellStyle name="Berechnung 2" xfId="50" xr:uid="{00000000-0005-0000-0000-000045000000}"/>
    <cellStyle name="bg" xfId="70" xr:uid="{00000000-0005-0000-0000-000046000000}"/>
    <cellStyle name="Calculation" xfId="119" xr:uid="{00000000-0005-0000-0000-000047000000}"/>
    <cellStyle name="cgf10" xfId="71" xr:uid="{00000000-0005-0000-0000-000048000000}"/>
    <cellStyle name="cgfett#" xfId="72" xr:uid="{00000000-0005-0000-0000-000049000000}"/>
    <cellStyle name="Check Cell" xfId="120" xr:uid="{00000000-0005-0000-0000-00004A000000}"/>
    <cellStyle name="Eingabe 2" xfId="51" xr:uid="{00000000-0005-0000-0000-00004B000000}"/>
    <cellStyle name="Ergebnis 2" xfId="52" xr:uid="{00000000-0005-0000-0000-00004C000000}"/>
    <cellStyle name="Erklärender Text 2" xfId="53" xr:uid="{00000000-0005-0000-0000-00004D000000}"/>
    <cellStyle name="Euro" xfId="73" xr:uid="{00000000-0005-0000-0000-00004E000000}"/>
    <cellStyle name="Explanatory Text" xfId="121" xr:uid="{00000000-0005-0000-0000-00004F000000}"/>
    <cellStyle name="formel" xfId="74" xr:uid="{00000000-0005-0000-0000-000050000000}"/>
    <cellStyle name="gesperrt" xfId="75" xr:uid="{00000000-0005-0000-0000-000051000000}"/>
    <cellStyle name="Good" xfId="122" xr:uid="{00000000-0005-0000-0000-000052000000}"/>
    <cellStyle name="Gut 2" xfId="54" xr:uid="{00000000-0005-0000-0000-000053000000}"/>
    <cellStyle name="Hard no." xfId="76" xr:uid="{00000000-0005-0000-0000-000054000000}"/>
    <cellStyle name="Heading 1" xfId="123" xr:uid="{00000000-0005-0000-0000-000055000000}"/>
    <cellStyle name="Heading 2" xfId="124" xr:uid="{00000000-0005-0000-0000-000056000000}"/>
    <cellStyle name="Heading 3" xfId="125" xr:uid="{00000000-0005-0000-0000-000057000000}"/>
    <cellStyle name="Heading 4" xfId="126" xr:uid="{00000000-0005-0000-0000-000058000000}"/>
    <cellStyle name="Input" xfId="127" xr:uid="{00000000-0005-0000-0000-000059000000}"/>
    <cellStyle name="Komma 2" xfId="2" xr:uid="{00000000-0005-0000-0000-00005A000000}"/>
    <cellStyle name="Komma 3" xfId="135" xr:uid="{00000000-0005-0000-0000-00005B000000}"/>
    <cellStyle name="Komma 4" xfId="158" xr:uid="{00000000-0005-0000-0000-00005C000000}"/>
    <cellStyle name="Linked Cell" xfId="128" xr:uid="{00000000-0005-0000-0000-00005D000000}"/>
    <cellStyle name="Migliaia (0)" xfId="77" xr:uid="{00000000-0005-0000-0000-00005E000000}"/>
    <cellStyle name="Neutral 2" xfId="55" xr:uid="{00000000-0005-0000-0000-00005F000000}"/>
    <cellStyle name="nicht gesperrt" xfId="78" xr:uid="{00000000-0005-0000-0000-000060000000}"/>
    <cellStyle name="Normalny_Anlage G_1" xfId="79" xr:uid="{00000000-0005-0000-0000-000061000000}"/>
    <cellStyle name="Note" xfId="129" xr:uid="{00000000-0005-0000-0000-000062000000}"/>
    <cellStyle name="Notiz 2" xfId="56" xr:uid="{00000000-0005-0000-0000-000063000000}"/>
    <cellStyle name="Output" xfId="130" xr:uid="{00000000-0005-0000-0000-000064000000}"/>
    <cellStyle name="Prozent" xfId="1" builtinId="5"/>
    <cellStyle name="Prozent 2" xfId="3" xr:uid="{00000000-0005-0000-0000-000066000000}"/>
    <cellStyle name="Prozent 2 2" xfId="68" xr:uid="{00000000-0005-0000-0000-000067000000}"/>
    <cellStyle name="Prozent 3" xfId="4" xr:uid="{00000000-0005-0000-0000-000068000000}"/>
    <cellStyle name="Prozent 3 2" xfId="91" xr:uid="{00000000-0005-0000-0000-000069000000}"/>
    <cellStyle name="Rahmen fett links" xfId="80" xr:uid="{00000000-0005-0000-0000-00006A000000}"/>
    <cellStyle name="Rahmen fett rechts" xfId="81" xr:uid="{00000000-0005-0000-0000-00006B000000}"/>
    <cellStyle name="Rahmen fett unten" xfId="82" xr:uid="{00000000-0005-0000-0000-00006C000000}"/>
    <cellStyle name="Schlecht 2" xfId="57" xr:uid="{00000000-0005-0000-0000-00006D000000}"/>
    <cellStyle name="schraffiert" xfId="83" xr:uid="{00000000-0005-0000-0000-00006E000000}"/>
    <cellStyle name="Standard" xfId="0" builtinId="0"/>
    <cellStyle name="Standard 2" xfId="5" xr:uid="{00000000-0005-0000-0000-000070000000}"/>
    <cellStyle name="Standard 2 2" xfId="67" xr:uid="{00000000-0005-0000-0000-000071000000}"/>
    <cellStyle name="Standard 2 3" xfId="93" xr:uid="{00000000-0005-0000-0000-000072000000}"/>
    <cellStyle name="Standard 3" xfId="66" xr:uid="{00000000-0005-0000-0000-000073000000}"/>
    <cellStyle name="Standard 3 2" xfId="138" xr:uid="{00000000-0005-0000-0000-000074000000}"/>
    <cellStyle name="Standard 3 3" xfId="156" xr:uid="{00000000-0005-0000-0000-000075000000}"/>
    <cellStyle name="Standard 4" xfId="90" xr:uid="{00000000-0005-0000-0000-000076000000}"/>
    <cellStyle name="Standard 5" xfId="6" xr:uid="{00000000-0005-0000-0000-000077000000}"/>
    <cellStyle name="Standard 5 2" xfId="134" xr:uid="{00000000-0005-0000-0000-000078000000}"/>
    <cellStyle name="Standard 5 3" xfId="142" xr:uid="{00000000-0005-0000-0000-000079000000}"/>
    <cellStyle name="Standard 6" xfId="92" xr:uid="{00000000-0005-0000-0000-00007A000000}"/>
    <cellStyle name="Standard 6 2" xfId="136" xr:uid="{00000000-0005-0000-0000-00007B000000}"/>
    <cellStyle name="Standard 6 2 2" xfId="140" xr:uid="{00000000-0005-0000-0000-00007C000000}"/>
    <cellStyle name="Standard 6 2 2 2" xfId="146" xr:uid="{00000000-0005-0000-0000-00007D000000}"/>
    <cellStyle name="Standard 6 2 2 2 2" xfId="154" xr:uid="{00000000-0005-0000-0000-00007E000000}"/>
    <cellStyle name="Standard 6 2 2 3" xfId="150" xr:uid="{00000000-0005-0000-0000-00007F000000}"/>
    <cellStyle name="Standard 6 2 3" xfId="144" xr:uid="{00000000-0005-0000-0000-000080000000}"/>
    <cellStyle name="Standard 6 2 3 2" xfId="152" xr:uid="{00000000-0005-0000-0000-000081000000}"/>
    <cellStyle name="Standard 6 2 4" xfId="148" xr:uid="{00000000-0005-0000-0000-000082000000}"/>
    <cellStyle name="Standard 6 3" xfId="143" xr:uid="{00000000-0005-0000-0000-000083000000}"/>
    <cellStyle name="Standard 7" xfId="139" xr:uid="{00000000-0005-0000-0000-000084000000}"/>
    <cellStyle name="Standard 7 2" xfId="141" xr:uid="{00000000-0005-0000-0000-000085000000}"/>
    <cellStyle name="Standard 7 2 2" xfId="147" xr:uid="{00000000-0005-0000-0000-000086000000}"/>
    <cellStyle name="Standard 7 2 2 2" xfId="155" xr:uid="{00000000-0005-0000-0000-000087000000}"/>
    <cellStyle name="Standard 7 2 3" xfId="151" xr:uid="{00000000-0005-0000-0000-000088000000}"/>
    <cellStyle name="Standard 7 3" xfId="145" xr:uid="{00000000-0005-0000-0000-000089000000}"/>
    <cellStyle name="Standard 7 3 2" xfId="153" xr:uid="{00000000-0005-0000-0000-00008A000000}"/>
    <cellStyle name="Standard 7 4" xfId="149" xr:uid="{00000000-0005-0000-0000-00008B000000}"/>
    <cellStyle name="Standard 8" xfId="157" xr:uid="{00000000-0005-0000-0000-00008C000000}"/>
    <cellStyle name="Standard 9" xfId="159" xr:uid="{00000000-0005-0000-0000-00008D000000}"/>
    <cellStyle name="Titel" xfId="84" xr:uid="{00000000-0005-0000-0000-00008E000000}"/>
    <cellStyle name="Title" xfId="131" xr:uid="{00000000-0005-0000-0000-00008F000000}"/>
    <cellStyle name="Total" xfId="132" xr:uid="{00000000-0005-0000-0000-000090000000}"/>
    <cellStyle name="Überschrift 1 2" xfId="59" xr:uid="{00000000-0005-0000-0000-000091000000}"/>
    <cellStyle name="Überschrift 2 2" xfId="60" xr:uid="{00000000-0005-0000-0000-000092000000}"/>
    <cellStyle name="Überschrift 3 2" xfId="61" xr:uid="{00000000-0005-0000-0000-000093000000}"/>
    <cellStyle name="Überschrift 4 2" xfId="62" xr:uid="{00000000-0005-0000-0000-000094000000}"/>
    <cellStyle name="Überschrift 5" xfId="58" xr:uid="{00000000-0005-0000-0000-000095000000}"/>
    <cellStyle name="Überschrift 6" xfId="137" xr:uid="{00000000-0005-0000-0000-000096000000}"/>
    <cellStyle name="Ueberschrift 1" xfId="85" xr:uid="{00000000-0005-0000-0000-000097000000}"/>
    <cellStyle name="Ueberschrift 2" xfId="86" xr:uid="{00000000-0005-0000-0000-000098000000}"/>
    <cellStyle name="Valuta (0)" xfId="87" xr:uid="{00000000-0005-0000-0000-000099000000}"/>
    <cellStyle name="Verknüpfte Zelle 2" xfId="63" xr:uid="{00000000-0005-0000-0000-00009A000000}"/>
    <cellStyle name="Warnender Text 2" xfId="64" xr:uid="{00000000-0005-0000-0000-00009B000000}"/>
    <cellStyle name="Warning Text" xfId="133" xr:uid="{00000000-0005-0000-0000-00009C000000}"/>
    <cellStyle name="zahl" xfId="88" xr:uid="{00000000-0005-0000-0000-00009D000000}"/>
    <cellStyle name="Zelle überprüfen 2" xfId="65" xr:uid="{00000000-0005-0000-0000-00009E000000}"/>
    <cellStyle name="zentr.ü.Ausw." xfId="89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7/3M/3M%202017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2">
          <cell r="E2">
            <v>13491.03</v>
          </cell>
        </row>
        <row r="3">
          <cell r="E3">
            <v>14815.789999999999</v>
          </cell>
        </row>
        <row r="152">
          <cell r="E152">
            <v>71839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11"/>
  <sheetViews>
    <sheetView tabSelected="1" view="pageBreakPreview" zoomScaleNormal="100" zoomScaleSheetLayoutView="10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/>
    </sheetView>
  </sheetViews>
  <sheetFormatPr baseColWidth="10" defaultColWidth="22.42578125" defaultRowHeight="11.25" outlineLevelCol="1"/>
  <cols>
    <col min="1" max="1" width="22.42578125" style="6" customWidth="1"/>
    <col min="2" max="4" width="10.85546875" style="13" customWidth="1"/>
    <col min="5" max="13" width="10.85546875" style="13" customWidth="1" outlineLevel="1"/>
    <col min="14" max="16384" width="22.42578125" style="6"/>
  </cols>
  <sheetData>
    <row r="1" spans="1:15" s="1" customFormat="1" ht="24.75" customHeight="1">
      <c r="A1" s="150" t="s">
        <v>0</v>
      </c>
      <c r="B1" s="151" t="s">
        <v>159</v>
      </c>
      <c r="C1" s="151" t="s">
        <v>160</v>
      </c>
      <c r="D1" s="151" t="s">
        <v>158</v>
      </c>
      <c r="E1" s="151">
        <v>2019</v>
      </c>
      <c r="F1" s="151" t="s">
        <v>156</v>
      </c>
      <c r="G1" s="151">
        <v>2018</v>
      </c>
      <c r="H1" s="151" t="s">
        <v>151</v>
      </c>
      <c r="I1" s="151">
        <v>2017</v>
      </c>
      <c r="J1" s="151" t="s">
        <v>135</v>
      </c>
      <c r="K1" s="151">
        <v>2016</v>
      </c>
      <c r="L1" s="151" t="s">
        <v>130</v>
      </c>
      <c r="M1" s="151">
        <v>2015</v>
      </c>
    </row>
    <row r="2" spans="1:15" s="2" customFormat="1">
      <c r="A2" s="152" t="s">
        <v>1</v>
      </c>
      <c r="B2" s="218">
        <f>B188</f>
        <v>6720.079999999999</v>
      </c>
      <c r="C2" s="153">
        <f>IF((+B2/D2)&lt;0,"n.m.",IF(B2&lt;0,(+B2/D2-1)*-1,(+B2/D2-1)))</f>
        <v>-0.1048236377029943</v>
      </c>
      <c r="D2" s="218">
        <f>D188</f>
        <v>7506.99</v>
      </c>
      <c r="E2" s="218">
        <f>E188</f>
        <v>16617.97</v>
      </c>
      <c r="F2" s="153">
        <f>IF((+E2/G2)&lt;0,"n.m.",IF(E2&lt;0,(+E2/G2-1)*-1,(+E2/G2-1)))</f>
        <v>1.8078304808955226E-2</v>
      </c>
      <c r="G2" s="218">
        <f>G188</f>
        <v>16322.880000000001</v>
      </c>
      <c r="H2" s="153">
        <f>IF((+G2/I2)&lt;0,"n.m.",IF(G2&lt;0,(+G2/I2-1)*-1,(+G2/I2-1)))</f>
        <v>0.11640809827582332</v>
      </c>
      <c r="I2" s="218">
        <f>I188</f>
        <v>14620.89</v>
      </c>
      <c r="J2" s="153">
        <f>IF((+I2/K2)&lt;0,"n.m.",IF(I2&lt;0,(+I2/K2-1)*-1,(+I2/K2-1)))</f>
        <v>8.3748979877740881E-2</v>
      </c>
      <c r="K2" s="218">
        <f t="shared" ref="K2" si="0">K188</f>
        <v>13491.03</v>
      </c>
      <c r="L2" s="195">
        <f t="shared" ref="L2:L22" si="1">IF((+K2/M2)&lt;0,"n.m.",IF(K2&lt;0,(+K2/M2-1)*-1,(+K2/M2-1)))</f>
        <v>-5.5895270459405899E-2</v>
      </c>
      <c r="M2" s="218">
        <f>M188</f>
        <v>14289.76</v>
      </c>
    </row>
    <row r="3" spans="1:15" s="2" customFormat="1">
      <c r="A3" s="152" t="s">
        <v>2</v>
      </c>
      <c r="B3" s="218">
        <f>B218</f>
        <v>19440.540000000005</v>
      </c>
      <c r="C3" s="153">
        <f t="shared" ref="C3:C22" si="2">IF((+B3/D3)&lt;0,"n.m.",IF(B3&lt;0,(+B3/D3-1)*-1,(+B3/D3-1)))</f>
        <v>6.083999386650718E-2</v>
      </c>
      <c r="D3" s="218">
        <f>D218</f>
        <v>18325.61</v>
      </c>
      <c r="E3" s="218">
        <f>E218</f>
        <v>17411.48</v>
      </c>
      <c r="F3" s="153">
        <f t="shared" ref="F3:F22" si="3">IF((+E3/G3)&lt;0,"n.m.",IF(E3&lt;0,(+E3/G3-1)*-1,(+E3/G3-1)))</f>
        <v>3.0282768165844187E-2</v>
      </c>
      <c r="G3" s="218">
        <f>G218</f>
        <v>16899.71</v>
      </c>
      <c r="H3" s="153">
        <f t="shared" ref="H3:H34" si="4">IF((+G3/I3)&lt;0,"n.m.",IF(G3&lt;0,(+G3/I3-1)*-1,(+G3/I3-1)))</f>
        <v>1.8553665138408171E-2</v>
      </c>
      <c r="I3" s="218">
        <f>I218</f>
        <v>16591.87</v>
      </c>
      <c r="J3" s="153">
        <f t="shared" ref="J3:J28" si="5">IF((+I3/K3)&lt;0,"n.m.",IF(I3&lt;0,(+I3/K3-1)*-1,(+I3/K3-1)))</f>
        <v>0.11987750906296601</v>
      </c>
      <c r="K3" s="218">
        <f>K218</f>
        <v>14815.789999999999</v>
      </c>
      <c r="L3" s="195">
        <f t="shared" si="1"/>
        <v>0.1279987635691433</v>
      </c>
      <c r="M3" s="218">
        <f>M218</f>
        <v>13134.58</v>
      </c>
      <c r="O3" s="477"/>
    </row>
    <row r="4" spans="1:15" s="2" customFormat="1">
      <c r="A4" s="152" t="s">
        <v>3</v>
      </c>
      <c r="B4" s="196">
        <v>6321.81</v>
      </c>
      <c r="C4" s="153">
        <f t="shared" si="2"/>
        <v>-9.4175871570280734E-2</v>
      </c>
      <c r="D4" s="196">
        <v>6979.07</v>
      </c>
      <c r="E4" s="196">
        <v>15668.57</v>
      </c>
      <c r="F4" s="153">
        <f t="shared" si="3"/>
        <v>2.9348504174793177E-2</v>
      </c>
      <c r="G4" s="196">
        <v>15221.832</v>
      </c>
      <c r="H4" s="153">
        <f t="shared" si="4"/>
        <v>0.12681527191325315</v>
      </c>
      <c r="I4" s="188">
        <v>13508.72</v>
      </c>
      <c r="J4" s="153">
        <f t="shared" si="5"/>
        <v>8.9372491020494493E-2</v>
      </c>
      <c r="K4" s="188">
        <v>12400.46</v>
      </c>
      <c r="L4" s="195">
        <f t="shared" si="1"/>
        <v>-5.5093618460957061E-2</v>
      </c>
      <c r="M4" s="196">
        <v>13123.48</v>
      </c>
    </row>
    <row r="5" spans="1:15">
      <c r="A5" s="154" t="s">
        <v>4</v>
      </c>
      <c r="B5" s="155">
        <v>7.12</v>
      </c>
      <c r="C5" s="201" t="str">
        <f t="shared" si="2"/>
        <v>n.m.</v>
      </c>
      <c r="D5" s="155">
        <v>-46.91</v>
      </c>
      <c r="E5" s="155">
        <v>24.94</v>
      </c>
      <c r="F5" s="201" t="str">
        <f t="shared" si="3"/>
        <v>n.m.</v>
      </c>
      <c r="G5" s="155">
        <v>-66.328000000000003</v>
      </c>
      <c r="H5" s="201">
        <f t="shared" si="4"/>
        <v>-7.5705481673694619E-2</v>
      </c>
      <c r="I5" s="193">
        <v>-61.66</v>
      </c>
      <c r="J5" s="201" t="str">
        <f t="shared" si="5"/>
        <v>n.m.</v>
      </c>
      <c r="K5" s="193">
        <v>51.39</v>
      </c>
      <c r="L5" s="202" t="str">
        <f t="shared" si="1"/>
        <v>n.m.</v>
      </c>
      <c r="M5" s="155">
        <v>-26.19</v>
      </c>
    </row>
    <row r="6" spans="1:15">
      <c r="A6" s="154" t="s">
        <v>5</v>
      </c>
      <c r="B6" s="155">
        <v>2.48</v>
      </c>
      <c r="C6" s="201">
        <f t="shared" si="2"/>
        <v>-0.59210526315789469</v>
      </c>
      <c r="D6" s="193">
        <v>6.08</v>
      </c>
      <c r="E6" s="155">
        <v>6.42</v>
      </c>
      <c r="F6" s="201">
        <f t="shared" si="3"/>
        <v>-0.80702176265480341</v>
      </c>
      <c r="G6" s="155">
        <v>33.268000000000001</v>
      </c>
      <c r="H6" s="201">
        <f t="shared" si="4"/>
        <v>1.4515843773028738</v>
      </c>
      <c r="I6" s="193">
        <v>13.57</v>
      </c>
      <c r="J6" s="201">
        <f t="shared" si="5"/>
        <v>2.2620192307692308</v>
      </c>
      <c r="K6" s="193">
        <v>4.16</v>
      </c>
      <c r="L6" s="202">
        <f t="shared" si="1"/>
        <v>-0.27777777777777768</v>
      </c>
      <c r="M6" s="155">
        <v>5.76</v>
      </c>
    </row>
    <row r="7" spans="1:15">
      <c r="A7" s="154" t="s">
        <v>6</v>
      </c>
      <c r="B7" s="155">
        <v>95.99</v>
      </c>
      <c r="C7" s="201">
        <f t="shared" si="2"/>
        <v>-0.24719629832954282</v>
      </c>
      <c r="D7" s="193">
        <v>127.51</v>
      </c>
      <c r="E7" s="155">
        <v>233.14</v>
      </c>
      <c r="F7" s="201">
        <f t="shared" si="3"/>
        <v>4.557869197271458E-2</v>
      </c>
      <c r="G7" s="155">
        <v>222.977</v>
      </c>
      <c r="H7" s="201">
        <f t="shared" si="4"/>
        <v>-0.21206756422488426</v>
      </c>
      <c r="I7" s="193">
        <v>282.99</v>
      </c>
      <c r="J7" s="201">
        <f t="shared" si="5"/>
        <v>0.19997455794428198</v>
      </c>
      <c r="K7" s="193">
        <v>235.83</v>
      </c>
      <c r="L7" s="202">
        <f t="shared" si="1"/>
        <v>6.4887564345705862E-2</v>
      </c>
      <c r="M7" s="155">
        <v>221.46</v>
      </c>
    </row>
    <row r="8" spans="1:15" ht="33.75">
      <c r="A8" s="154" t="s">
        <v>7</v>
      </c>
      <c r="B8" s="155">
        <v>-4078</v>
      </c>
      <c r="C8" s="201">
        <f t="shared" si="2"/>
        <v>0.11491364005330484</v>
      </c>
      <c r="D8" s="193">
        <v>-4607.46</v>
      </c>
      <c r="E8" s="155">
        <v>-10111.85</v>
      </c>
      <c r="F8" s="201">
        <f t="shared" si="3"/>
        <v>1.3748088910958689E-3</v>
      </c>
      <c r="G8" s="155">
        <v>-10125.771000000001</v>
      </c>
      <c r="H8" s="201">
        <f t="shared" si="4"/>
        <v>-0.14546605323381456</v>
      </c>
      <c r="I8" s="193">
        <v>-8839.8700000000008</v>
      </c>
      <c r="J8" s="201">
        <f t="shared" si="5"/>
        <v>-0.10775174467199933</v>
      </c>
      <c r="K8" s="193">
        <v>-7980.01</v>
      </c>
      <c r="L8" s="202">
        <f t="shared" si="1"/>
        <v>7.41405935470697E-2</v>
      </c>
      <c r="M8" s="155">
        <v>-8619.0300000000007</v>
      </c>
    </row>
    <row r="9" spans="1:15">
      <c r="A9" s="154" t="s">
        <v>137</v>
      </c>
      <c r="B9" s="155">
        <v>-1749.6</v>
      </c>
      <c r="C9" s="201">
        <f t="shared" si="2"/>
        <v>4.6238047993371278E-2</v>
      </c>
      <c r="D9" s="193">
        <v>-1834.42</v>
      </c>
      <c r="E9" s="155">
        <v>-3745.15</v>
      </c>
      <c r="F9" s="201">
        <f t="shared" si="3"/>
        <v>-3.4874566896780035E-2</v>
      </c>
      <c r="G9" s="155">
        <v>-3618.9409999999998</v>
      </c>
      <c r="H9" s="201">
        <f t="shared" si="4"/>
        <v>-7.4772286519540154E-2</v>
      </c>
      <c r="I9" s="193">
        <v>-3367.17</v>
      </c>
      <c r="J9" s="201">
        <f t="shared" si="5"/>
        <v>-4.8665331634957232E-2</v>
      </c>
      <c r="K9" s="193">
        <v>-3210.91</v>
      </c>
      <c r="L9" s="202">
        <f t="shared" si="1"/>
        <v>-1.6673790865194382E-2</v>
      </c>
      <c r="M9" s="155">
        <v>-3158.25</v>
      </c>
    </row>
    <row r="10" spans="1:15">
      <c r="A10" s="154" t="s">
        <v>8</v>
      </c>
      <c r="B10" s="155">
        <v>-325.44</v>
      </c>
      <c r="C10" s="201">
        <f t="shared" si="2"/>
        <v>0.14694626474442984</v>
      </c>
      <c r="D10" s="193">
        <v>-381.5</v>
      </c>
      <c r="E10" s="155">
        <v>-1024.01</v>
      </c>
      <c r="F10" s="201">
        <f t="shared" si="3"/>
        <v>-0.19782381868119003</v>
      </c>
      <c r="G10" s="155">
        <v>-854.89200000000005</v>
      </c>
      <c r="H10" s="201">
        <f t="shared" si="4"/>
        <v>-1.4359448973053857E-2</v>
      </c>
      <c r="I10" s="193">
        <v>-842.79</v>
      </c>
      <c r="J10" s="201">
        <f t="shared" si="5"/>
        <v>-5.8980963749450277E-2</v>
      </c>
      <c r="K10" s="193">
        <v>-795.85</v>
      </c>
      <c r="L10" s="202">
        <f t="shared" si="1"/>
        <v>3.7549885113072889E-2</v>
      </c>
      <c r="M10" s="155">
        <v>-826.9</v>
      </c>
    </row>
    <row r="11" spans="1:15" ht="22.5">
      <c r="A11" s="154" t="s">
        <v>9</v>
      </c>
      <c r="B11" s="155">
        <v>12.27</v>
      </c>
      <c r="C11" s="201">
        <f t="shared" si="2"/>
        <v>-0.59004343468092224</v>
      </c>
      <c r="D11" s="193">
        <v>29.93</v>
      </c>
      <c r="E11" s="155">
        <v>-21.48</v>
      </c>
      <c r="F11" s="201" t="str">
        <f t="shared" si="3"/>
        <v>n.m.</v>
      </c>
      <c r="G11" s="155">
        <v>83.176000000000002</v>
      </c>
      <c r="H11" s="201">
        <f t="shared" si="4"/>
        <v>-0.32917170739575763</v>
      </c>
      <c r="I11" s="193">
        <v>123.99</v>
      </c>
      <c r="J11" s="201">
        <f t="shared" si="5"/>
        <v>0.16773403654172148</v>
      </c>
      <c r="K11" s="193">
        <v>106.18</v>
      </c>
      <c r="L11" s="202">
        <f t="shared" si="1"/>
        <v>0.71562449507190196</v>
      </c>
      <c r="M11" s="155">
        <v>61.89</v>
      </c>
    </row>
    <row r="12" spans="1:15">
      <c r="A12" s="154" t="s">
        <v>10</v>
      </c>
      <c r="B12" s="155">
        <v>13.48</v>
      </c>
      <c r="C12" s="201">
        <f t="shared" si="2"/>
        <v>-0.39928698752228164</v>
      </c>
      <c r="D12" s="193">
        <v>22.44</v>
      </c>
      <c r="E12" s="155">
        <v>82.72</v>
      </c>
      <c r="F12" s="201">
        <f t="shared" si="3"/>
        <v>0.44408365629691704</v>
      </c>
      <c r="G12" s="155">
        <v>57.281999999999996</v>
      </c>
      <c r="H12" s="201">
        <f t="shared" si="4"/>
        <v>2.409642857142857</v>
      </c>
      <c r="I12" s="193">
        <v>16.8</v>
      </c>
      <c r="J12" s="201">
        <f t="shared" si="5"/>
        <v>-0.61757341224675621</v>
      </c>
      <c r="K12" s="193">
        <v>43.93</v>
      </c>
      <c r="L12" s="202">
        <f t="shared" si="1"/>
        <v>0.29663518299881919</v>
      </c>
      <c r="M12" s="155">
        <v>33.880000000000003</v>
      </c>
    </row>
    <row r="13" spans="1:15" s="2" customFormat="1">
      <c r="A13" s="152" t="s">
        <v>127</v>
      </c>
      <c r="B13" s="218">
        <f>SUM(B4:B12)</f>
        <v>300.10999999999973</v>
      </c>
      <c r="C13" s="153">
        <f t="shared" si="2"/>
        <v>1.82194476487747E-2</v>
      </c>
      <c r="D13" s="296">
        <f>SUM(D4:D12)</f>
        <v>294.7399999999999</v>
      </c>
      <c r="E13" s="218">
        <f>SUM(E4:E12)</f>
        <v>1113.2999999999993</v>
      </c>
      <c r="F13" s="153">
        <f t="shared" si="3"/>
        <v>0.16869251933911378</v>
      </c>
      <c r="G13" s="218">
        <f>SUM(G4:G12)</f>
        <v>952.6030000000012</v>
      </c>
      <c r="H13" s="153">
        <f t="shared" si="4"/>
        <v>0.14141604160176779</v>
      </c>
      <c r="I13" s="296">
        <f>SUM(I4:I12)</f>
        <v>834.57999999999811</v>
      </c>
      <c r="J13" s="153">
        <f t="shared" si="5"/>
        <v>-2.4088495989148528E-2</v>
      </c>
      <c r="K13" s="218">
        <f>SUM(K4:K12)</f>
        <v>855.17999999999813</v>
      </c>
      <c r="L13" s="195">
        <f t="shared" si="1"/>
        <v>4.7886288445044167E-2</v>
      </c>
      <c r="M13" s="218">
        <f>SUM(M4:M12)</f>
        <v>816.09999999999775</v>
      </c>
    </row>
    <row r="14" spans="1:15" ht="22.5">
      <c r="A14" s="154" t="s">
        <v>11</v>
      </c>
      <c r="B14" s="155">
        <v>-255.01</v>
      </c>
      <c r="C14" s="201">
        <f t="shared" si="2"/>
        <v>-9.099854539231611E-2</v>
      </c>
      <c r="D14" s="193">
        <v>-233.74</v>
      </c>
      <c r="E14" s="155">
        <v>-510.72</v>
      </c>
      <c r="F14" s="201">
        <f t="shared" si="3"/>
        <v>-0.29496183980324053</v>
      </c>
      <c r="G14" s="155">
        <v>-394.39</v>
      </c>
      <c r="H14" s="201">
        <f t="shared" si="4"/>
        <v>-2.1153746569312792E-2</v>
      </c>
      <c r="I14" s="193">
        <v>-386.22</v>
      </c>
      <c r="J14" s="201">
        <f t="shared" si="5"/>
        <v>0.10237757687033711</v>
      </c>
      <c r="K14" s="193">
        <v>-430.27</v>
      </c>
      <c r="L14" s="197">
        <f t="shared" si="1"/>
        <v>9.4282827432324412E-2</v>
      </c>
      <c r="M14" s="155">
        <v>-475.06</v>
      </c>
    </row>
    <row r="15" spans="1:15" s="2" customFormat="1">
      <c r="A15" s="152" t="s">
        <v>116</v>
      </c>
      <c r="B15" s="218">
        <f>B13+B14</f>
        <v>45.099999999999739</v>
      </c>
      <c r="C15" s="153">
        <f t="shared" si="2"/>
        <v>-0.2606557377049209</v>
      </c>
      <c r="D15" s="296">
        <f>D13+D14</f>
        <v>60.999999999999886</v>
      </c>
      <c r="E15" s="218">
        <f>E13+E14</f>
        <v>602.57999999999925</v>
      </c>
      <c r="F15" s="153">
        <f t="shared" si="3"/>
        <v>7.948041339058376E-2</v>
      </c>
      <c r="G15" s="218">
        <f>G13+G14</f>
        <v>558.21300000000122</v>
      </c>
      <c r="H15" s="153">
        <f t="shared" si="4"/>
        <v>0.24501070568294137</v>
      </c>
      <c r="I15" s="296">
        <f>I13+I14</f>
        <v>448.35999999999808</v>
      </c>
      <c r="J15" s="153">
        <f t="shared" si="5"/>
        <v>5.5188157492174872E-2</v>
      </c>
      <c r="K15" s="218">
        <f t="shared" ref="K15" si="6">K13+K14</f>
        <v>424.90999999999815</v>
      </c>
      <c r="L15" s="195">
        <f t="shared" si="1"/>
        <v>0.245924231761673</v>
      </c>
      <c r="M15" s="218">
        <f>M13+M14</f>
        <v>341.03999999999775</v>
      </c>
    </row>
    <row r="16" spans="1:15">
      <c r="A16" s="154" t="s">
        <v>12</v>
      </c>
      <c r="B16" s="155">
        <v>-13.490000000000002</v>
      </c>
      <c r="C16" s="201">
        <f t="shared" si="2"/>
        <v>0.30820512820512813</v>
      </c>
      <c r="D16" s="193">
        <v>-19.5</v>
      </c>
      <c r="E16" s="155">
        <f>30.97-56.31</f>
        <v>-25.340000000000003</v>
      </c>
      <c r="F16" s="201">
        <f t="shared" si="3"/>
        <v>7.6261300670749321E-2</v>
      </c>
      <c r="G16" s="155">
        <v>-27.431999999999999</v>
      </c>
      <c r="H16" s="201">
        <f t="shared" si="4"/>
        <v>-1.0386740331491673E-2</v>
      </c>
      <c r="I16" s="193">
        <v>-27.15</v>
      </c>
      <c r="J16" s="201">
        <f t="shared" si="5"/>
        <v>-6.1825396825396801</v>
      </c>
      <c r="K16" s="189">
        <f>73.9-77.68</f>
        <v>-3.7800000000000011</v>
      </c>
      <c r="L16" s="197">
        <f t="shared" si="1"/>
        <v>0.84520884520884521</v>
      </c>
      <c r="M16" s="189">
        <f>82.07-106.49</f>
        <v>-24.42</v>
      </c>
    </row>
    <row r="17" spans="1:13" s="2" customFormat="1">
      <c r="A17" s="152" t="s">
        <v>13</v>
      </c>
      <c r="B17" s="218">
        <f>B16</f>
        <v>-13.490000000000002</v>
      </c>
      <c r="C17" s="153">
        <f t="shared" si="2"/>
        <v>0.30820512820512813</v>
      </c>
      <c r="D17" s="296">
        <f>D16</f>
        <v>-19.5</v>
      </c>
      <c r="E17" s="218">
        <f>E16</f>
        <v>-25.340000000000003</v>
      </c>
      <c r="F17" s="153">
        <f t="shared" si="3"/>
        <v>7.6261300670749321E-2</v>
      </c>
      <c r="G17" s="218">
        <f>G16</f>
        <v>-27.431999999999999</v>
      </c>
      <c r="H17" s="153">
        <f t="shared" si="4"/>
        <v>-1.0386740331491673E-2</v>
      </c>
      <c r="I17" s="296">
        <f>I16</f>
        <v>-27.15</v>
      </c>
      <c r="J17" s="153">
        <f t="shared" si="5"/>
        <v>-6.1825396825396801</v>
      </c>
      <c r="K17" s="218">
        <f t="shared" ref="K17" si="7">K16</f>
        <v>-3.7800000000000011</v>
      </c>
      <c r="L17" s="195">
        <f t="shared" si="1"/>
        <v>0.84520884520884521</v>
      </c>
      <c r="M17" s="218">
        <f>M16</f>
        <v>-24.42</v>
      </c>
    </row>
    <row r="18" spans="1:13" s="2" customFormat="1">
      <c r="A18" s="152" t="s">
        <v>126</v>
      </c>
      <c r="B18" s="218">
        <f>B15+B17</f>
        <v>31.609999999999737</v>
      </c>
      <c r="C18" s="153">
        <f t="shared" si="2"/>
        <v>-0.23831325301205242</v>
      </c>
      <c r="D18" s="218">
        <f>D15+D17</f>
        <v>41.499999999999886</v>
      </c>
      <c r="E18" s="218">
        <f>E15+E17</f>
        <v>577.23999999999921</v>
      </c>
      <c r="F18" s="153">
        <f t="shared" si="3"/>
        <v>8.7529508403650258E-2</v>
      </c>
      <c r="G18" s="218">
        <f>G15+G17</f>
        <v>530.7810000000012</v>
      </c>
      <c r="H18" s="153">
        <f t="shared" si="4"/>
        <v>0.26013389995490033</v>
      </c>
      <c r="I18" s="296">
        <f>I15+I17</f>
        <v>421.2099999999981</v>
      </c>
      <c r="J18" s="153">
        <f t="shared" si="5"/>
        <v>1.8996509391389083E-4</v>
      </c>
      <c r="K18" s="218">
        <f t="shared" ref="K18" si="8">K15+K17</f>
        <v>421.12999999999818</v>
      </c>
      <c r="L18" s="195">
        <f t="shared" si="1"/>
        <v>0.33008022234856038</v>
      </c>
      <c r="M18" s="218">
        <f>M15+M17</f>
        <v>316.61999999999773</v>
      </c>
    </row>
    <row r="19" spans="1:13">
      <c r="A19" s="154" t="s">
        <v>14</v>
      </c>
      <c r="B19" s="189">
        <v>-30.98</v>
      </c>
      <c r="C19" s="201">
        <f t="shared" si="2"/>
        <v>-0.12409288824383169</v>
      </c>
      <c r="D19" s="189">
        <v>-27.56</v>
      </c>
      <c r="E19" s="189">
        <v>-198.68</v>
      </c>
      <c r="F19" s="201">
        <f t="shared" si="3"/>
        <v>-0.18262608706004202</v>
      </c>
      <c r="G19" s="189">
        <v>-167.999</v>
      </c>
      <c r="H19" s="201">
        <f t="shared" si="4"/>
        <v>-0.3038339154055103</v>
      </c>
      <c r="I19" s="191">
        <v>-128.85</v>
      </c>
      <c r="J19" s="201">
        <f t="shared" si="5"/>
        <v>7.3887730899159121E-2</v>
      </c>
      <c r="K19" s="191">
        <v>-139.13</v>
      </c>
      <c r="L19" s="197">
        <f t="shared" si="1"/>
        <v>-3.7277268321777468E-2</v>
      </c>
      <c r="M19" s="189">
        <v>-134.13</v>
      </c>
    </row>
    <row r="20" spans="1:13" s="2" customFormat="1" ht="22.5">
      <c r="A20" s="152" t="s">
        <v>15</v>
      </c>
      <c r="B20" s="218">
        <f>B18+B19</f>
        <v>0.6299999999997361</v>
      </c>
      <c r="C20" s="153">
        <f t="shared" si="2"/>
        <v>-0.95480631276902861</v>
      </c>
      <c r="D20" s="218">
        <f>D18+D19</f>
        <v>13.939999999999888</v>
      </c>
      <c r="E20" s="218">
        <f>E18+E19</f>
        <v>378.55999999999921</v>
      </c>
      <c r="F20" s="153">
        <f t="shared" si="3"/>
        <v>4.3491683710873197E-2</v>
      </c>
      <c r="G20" s="218">
        <f>G18+G19</f>
        <v>362.78200000000118</v>
      </c>
      <c r="H20" s="153">
        <f t="shared" si="4"/>
        <v>0.24087426460529326</v>
      </c>
      <c r="I20" s="296">
        <f>I18+I19</f>
        <v>292.35999999999808</v>
      </c>
      <c r="J20" s="153">
        <f t="shared" si="5"/>
        <v>3.6737588652482112E-2</v>
      </c>
      <c r="K20" s="218">
        <f t="shared" ref="K20" si="9">K18+K19</f>
        <v>281.99999999999818</v>
      </c>
      <c r="L20" s="195">
        <f t="shared" si="1"/>
        <v>0.54529015288509886</v>
      </c>
      <c r="M20" s="218">
        <f>M18+M19</f>
        <v>182.48999999999774</v>
      </c>
    </row>
    <row r="21" spans="1:13" ht="22.5">
      <c r="A21" s="154" t="s">
        <v>16</v>
      </c>
      <c r="B21" s="155">
        <v>1.42</v>
      </c>
      <c r="C21" s="201">
        <f t="shared" si="2"/>
        <v>-0.56707317073170738</v>
      </c>
      <c r="D21" s="155">
        <v>3.28</v>
      </c>
      <c r="E21" s="155">
        <v>6.86</v>
      </c>
      <c r="F21" s="201">
        <f t="shared" si="3"/>
        <v>-0.2582981943993945</v>
      </c>
      <c r="G21" s="155">
        <v>9.2490000000000006</v>
      </c>
      <c r="H21" s="201">
        <f t="shared" si="4"/>
        <v>-0.31234200743494411</v>
      </c>
      <c r="I21" s="193">
        <v>13.45</v>
      </c>
      <c r="J21" s="201">
        <f t="shared" si="5"/>
        <v>2.0919540229885056</v>
      </c>
      <c r="K21" s="193">
        <v>4.3499999999999996</v>
      </c>
      <c r="L21" s="197">
        <f t="shared" si="1"/>
        <v>-0.83396946564885499</v>
      </c>
      <c r="M21" s="155">
        <v>26.2</v>
      </c>
    </row>
    <row r="22" spans="1:13" s="2" customFormat="1" ht="22.5">
      <c r="A22" s="152" t="s">
        <v>17</v>
      </c>
      <c r="B22" s="218">
        <f>B20-B21</f>
        <v>-0.79000000000026382</v>
      </c>
      <c r="C22" s="153" t="str">
        <f t="shared" si="2"/>
        <v>n.m.</v>
      </c>
      <c r="D22" s="218">
        <f>D20-D21</f>
        <v>10.659999999999888</v>
      </c>
      <c r="E22" s="218">
        <f>E20-E21</f>
        <v>371.69999999999919</v>
      </c>
      <c r="F22" s="153">
        <f t="shared" si="3"/>
        <v>5.1386999233446362E-2</v>
      </c>
      <c r="G22" s="218">
        <f>G20-G21</f>
        <v>353.53300000000115</v>
      </c>
      <c r="H22" s="153">
        <f t="shared" si="4"/>
        <v>0.26755225700047891</v>
      </c>
      <c r="I22" s="218">
        <f>I20-I21</f>
        <v>278.90999999999809</v>
      </c>
      <c r="J22" s="153">
        <f t="shared" si="5"/>
        <v>4.538087520259193E-3</v>
      </c>
      <c r="K22" s="218">
        <f t="shared" ref="K22" si="10">K20-K21</f>
        <v>277.64999999999816</v>
      </c>
      <c r="L22" s="195">
        <f t="shared" si="1"/>
        <v>0.77650521466505951</v>
      </c>
      <c r="M22" s="218">
        <f>M20-M21</f>
        <v>156.28999999999775</v>
      </c>
    </row>
    <row r="23" spans="1:13">
      <c r="A23" s="152"/>
      <c r="B23" s="156"/>
      <c r="C23" s="423"/>
      <c r="D23" s="424"/>
      <c r="E23" s="156"/>
      <c r="F23" s="201"/>
      <c r="G23" s="156"/>
      <c r="H23" s="201"/>
      <c r="I23" s="156"/>
      <c r="J23" s="153"/>
      <c r="K23" s="156"/>
      <c r="L23" s="195"/>
      <c r="M23" s="156"/>
    </row>
    <row r="24" spans="1:13" s="2" customFormat="1">
      <c r="A24" s="152" t="s">
        <v>127</v>
      </c>
      <c r="B24" s="218">
        <f>B13</f>
        <v>300.10999999999973</v>
      </c>
      <c r="C24" s="153">
        <f t="shared" ref="C24" si="11">IF((+B24/D24)&lt;0,"n.m.",IF(B24&lt;0,(+B24/D24-1)*-1,(+B24/D24-1)))</f>
        <v>1.82194476487747E-2</v>
      </c>
      <c r="D24" s="218">
        <f>D13</f>
        <v>294.7399999999999</v>
      </c>
      <c r="E24" s="218">
        <f>E13</f>
        <v>1113.2999999999993</v>
      </c>
      <c r="F24" s="153">
        <f t="shared" ref="F24" si="12">IF((+E24/G24)&lt;0,"n.m.",IF(E24&lt;0,(+E24/G24-1)*-1,(+E24/G24-1)))</f>
        <v>0.16869251933911378</v>
      </c>
      <c r="G24" s="218">
        <f>G13</f>
        <v>952.6030000000012</v>
      </c>
      <c r="H24" s="153">
        <f t="shared" si="4"/>
        <v>0.14141604160176779</v>
      </c>
      <c r="I24" s="218">
        <f>I13</f>
        <v>834.57999999999811</v>
      </c>
      <c r="J24" s="153">
        <f t="shared" si="5"/>
        <v>-2.4088495989148528E-2</v>
      </c>
      <c r="K24" s="218">
        <f t="shared" ref="K24" si="13">K13</f>
        <v>855.17999999999813</v>
      </c>
      <c r="L24" s="195">
        <f>IF((+K24/M24)&lt;0,"n.m.",IF(K24&lt;0,(+K24/M24-1)*-1,(+K24/M24-1)))</f>
        <v>4.7886288445044167E-2</v>
      </c>
      <c r="M24" s="218">
        <f>M13</f>
        <v>816.09999999999775</v>
      </c>
    </row>
    <row r="25" spans="1:13" s="11" customFormat="1">
      <c r="A25" s="157" t="s">
        <v>18</v>
      </c>
      <c r="B25" s="192">
        <f>B24/B4</f>
        <v>4.7472163826499013E-2</v>
      </c>
      <c r="C25" s="201"/>
      <c r="D25" s="192">
        <f>D24/D4</f>
        <v>4.2231987929623849E-2</v>
      </c>
      <c r="E25" s="192">
        <f>E24/E4</f>
        <v>7.1053069935546082E-2</v>
      </c>
      <c r="F25" s="201"/>
      <c r="G25" s="192">
        <f>G24/G4</f>
        <v>6.2581363399622406E-2</v>
      </c>
      <c r="H25" s="201"/>
      <c r="I25" s="192">
        <f>I24/I4</f>
        <v>6.1780834897754794E-2</v>
      </c>
      <c r="J25" s="153"/>
      <c r="K25" s="192">
        <f>K24/K4</f>
        <v>6.8963570706247854E-2</v>
      </c>
      <c r="L25" s="195"/>
      <c r="M25" s="192">
        <f>M24/M4</f>
        <v>6.2186249378975531E-2</v>
      </c>
    </row>
    <row r="26" spans="1:13" s="2" customFormat="1">
      <c r="A26" s="152" t="s">
        <v>116</v>
      </c>
      <c r="B26" s="218">
        <f>B15</f>
        <v>45.099999999999739</v>
      </c>
      <c r="C26" s="153">
        <f t="shared" ref="C26" si="14">IF((+B26/D26)&lt;0,"n.m.",IF(B26&lt;0,(+B26/D26-1)*-1,(+B26/D26-1)))</f>
        <v>-0.2606557377049209</v>
      </c>
      <c r="D26" s="218">
        <f>D15</f>
        <v>60.999999999999886</v>
      </c>
      <c r="E26" s="218">
        <f>E15</f>
        <v>602.57999999999925</v>
      </c>
      <c r="F26" s="153">
        <f t="shared" ref="F26:F28" si="15">IF((+E26/G26)&lt;0,"n.m.",IF(E26&lt;0,(+E26/G26-1)*-1,(+E26/G26-1)))</f>
        <v>7.948041339058376E-2</v>
      </c>
      <c r="G26" s="218">
        <f>G15</f>
        <v>558.21300000000122</v>
      </c>
      <c r="H26" s="153">
        <f t="shared" si="4"/>
        <v>0.24501070568294137</v>
      </c>
      <c r="I26" s="218">
        <f>I15</f>
        <v>448.35999999999808</v>
      </c>
      <c r="J26" s="153">
        <f t="shared" si="5"/>
        <v>5.5188157492174872E-2</v>
      </c>
      <c r="K26" s="218">
        <f t="shared" ref="K26" si="16">K15</f>
        <v>424.90999999999815</v>
      </c>
      <c r="L26" s="195">
        <f>IF((+K26/M26)&lt;0,"n.m.",IF(K26&lt;0,(+K26/M26-1)*-1,(+K26/M26-1)))</f>
        <v>0.245924231761673</v>
      </c>
      <c r="M26" s="218">
        <f>M15</f>
        <v>341.03999999999775</v>
      </c>
    </row>
    <row r="27" spans="1:13" s="2" customFormat="1">
      <c r="A27" s="157" t="s">
        <v>18</v>
      </c>
      <c r="B27" s="192">
        <f>B26/B4</f>
        <v>7.1340328165509139E-3</v>
      </c>
      <c r="C27" s="201"/>
      <c r="D27" s="192">
        <f>D26/D4</f>
        <v>8.7404195687963999E-3</v>
      </c>
      <c r="E27" s="192">
        <f>E26/E4</f>
        <v>3.8457880968078083E-2</v>
      </c>
      <c r="F27" s="201"/>
      <c r="G27" s="192">
        <f>G26/G4</f>
        <v>3.6671867091950638E-2</v>
      </c>
      <c r="H27" s="201"/>
      <c r="I27" s="192">
        <f>I26/I4</f>
        <v>3.3190413303406843E-2</v>
      </c>
      <c r="J27" s="153"/>
      <c r="K27" s="192">
        <f>K26/K4</f>
        <v>3.426566433825827E-2</v>
      </c>
      <c r="L27" s="195"/>
      <c r="M27" s="192">
        <f>M26/M4</f>
        <v>2.5987009543200261E-2</v>
      </c>
    </row>
    <row r="28" spans="1:13" s="2" customFormat="1">
      <c r="A28" s="152" t="s">
        <v>19</v>
      </c>
      <c r="B28" s="158">
        <f>B22/B31*1000000</f>
        <v>-7.6998050682286923E-3</v>
      </c>
      <c r="C28" s="153" t="str">
        <f t="shared" ref="C28" si="17">IF((+B28/D28)&lt;0,"n.m.",IF(B28&lt;0,(+B28/D28-1)*-1,(+B28/D28-1)))</f>
        <v>n.m.</v>
      </c>
      <c r="D28" s="158">
        <f>D22/D31*1000000</f>
        <v>0.10389863547758175</v>
      </c>
      <c r="E28" s="158">
        <f>E22/E31*1000000</f>
        <v>3.6228070175438516</v>
      </c>
      <c r="F28" s="153">
        <f t="shared" si="15"/>
        <v>5.1386999233446362E-2</v>
      </c>
      <c r="G28" s="158">
        <f>G22/G31*1000000</f>
        <v>3.4457407407407517</v>
      </c>
      <c r="H28" s="153">
        <f t="shared" si="4"/>
        <v>0.26755225700047891</v>
      </c>
      <c r="I28" s="158">
        <f>I22/I31*1000000</f>
        <v>2.7184210526315602</v>
      </c>
      <c r="J28" s="153">
        <f t="shared" si="5"/>
        <v>4.538087520259193E-3</v>
      </c>
      <c r="K28" s="218">
        <f t="shared" ref="K28" si="18">K22/K31*1000000</f>
        <v>2.7061403508771749</v>
      </c>
      <c r="L28" s="195">
        <f>IF((+K28/M28)&lt;0,"n.m.",IF(K28&lt;0,(+K28/M28-1)*-1,(+K28/M28-1)))</f>
        <v>0.77650521466505928</v>
      </c>
      <c r="M28" s="218">
        <f>M22/M31*1000000</f>
        <v>1.5232943469785356</v>
      </c>
    </row>
    <row r="29" spans="1:13" s="11" customFormat="1" ht="22.5">
      <c r="A29" s="157" t="s">
        <v>20</v>
      </c>
      <c r="B29" s="192">
        <f>B22/B4</f>
        <v>-1.249642111990496E-4</v>
      </c>
      <c r="C29" s="423"/>
      <c r="D29" s="192">
        <f>D22/D4</f>
        <v>1.5274241410388331E-3</v>
      </c>
      <c r="E29" s="192">
        <f>E22/E4</f>
        <v>2.3722649865303546E-2</v>
      </c>
      <c r="F29" s="201"/>
      <c r="G29" s="192">
        <f>G22/G4</f>
        <v>2.3225391004184064E-2</v>
      </c>
      <c r="H29" s="201"/>
      <c r="I29" s="192">
        <f>I22/I4</f>
        <v>2.0646663784577524E-2</v>
      </c>
      <c r="J29" s="201"/>
      <c r="K29" s="192">
        <f>K22/K4</f>
        <v>2.2390298424413139E-2</v>
      </c>
      <c r="L29" s="197"/>
      <c r="M29" s="192">
        <f>M22/M4</f>
        <v>1.1909188721284122E-2</v>
      </c>
    </row>
    <row r="30" spans="1:13" s="2" customFormat="1">
      <c r="A30" s="152"/>
      <c r="B30" s="155"/>
      <c r="C30" s="423"/>
      <c r="D30" s="422"/>
      <c r="E30" s="155"/>
      <c r="F30" s="201"/>
      <c r="G30" s="155"/>
      <c r="H30" s="201"/>
      <c r="I30" s="193"/>
      <c r="J30" s="201"/>
      <c r="K30" s="313"/>
      <c r="L30" s="195"/>
      <c r="M30" s="313"/>
    </row>
    <row r="31" spans="1:13" ht="22.5">
      <c r="A31" s="154" t="s">
        <v>21</v>
      </c>
      <c r="B31" s="314">
        <v>102600000</v>
      </c>
      <c r="C31" s="201">
        <f t="shared" ref="C31" si="19">IF((+B31/D31)&lt;0,"n.m.",IF(B31&lt;0,(+B31/D31-1)*-1,(+B31/D31-1)))</f>
        <v>0</v>
      </c>
      <c r="D31" s="314">
        <v>102600000</v>
      </c>
      <c r="E31" s="314">
        <v>102600000</v>
      </c>
      <c r="F31" s="201">
        <f t="shared" ref="F31" si="20">IF((+E31/G31)&lt;0,"n.m.",IF(E31&lt;0,(+E31/G31-1)*-1,(+E31/G31-1)))</f>
        <v>0</v>
      </c>
      <c r="G31" s="314">
        <v>102600000</v>
      </c>
      <c r="H31" s="201">
        <f t="shared" si="4"/>
        <v>0</v>
      </c>
      <c r="I31" s="314">
        <v>102600000</v>
      </c>
      <c r="J31" s="201">
        <f t="shared" ref="J31" si="21">IF((+I31/K31)&lt;0,"n.m.",IF(I31&lt;0,(+I31/K31-1)*-1,(+I31/K31-1)))</f>
        <v>0</v>
      </c>
      <c r="K31" s="314">
        <v>102600000</v>
      </c>
      <c r="L31" s="197">
        <f>IF((+K31/M31)&lt;0,"n.m.",IF(K31&lt;0,(+K31/M31-1)*-1,(+K31/M31-1)))</f>
        <v>0</v>
      </c>
      <c r="M31" s="314">
        <v>102600000</v>
      </c>
    </row>
    <row r="32" spans="1:13" s="2" customFormat="1">
      <c r="A32" s="152"/>
      <c r="B32" s="315"/>
      <c r="C32" s="423"/>
      <c r="D32" s="426"/>
      <c r="E32" s="315"/>
      <c r="F32" s="201"/>
      <c r="G32" s="315"/>
      <c r="H32" s="201"/>
      <c r="I32" s="315"/>
      <c r="J32" s="156"/>
      <c r="K32" s="315"/>
      <c r="L32" s="195"/>
      <c r="M32" s="315"/>
    </row>
    <row r="33" spans="1:13">
      <c r="A33" s="154" t="s">
        <v>22</v>
      </c>
      <c r="B33" s="159" t="s">
        <v>162</v>
      </c>
      <c r="C33" s="423"/>
      <c r="D33" s="159" t="s">
        <v>162</v>
      </c>
      <c r="E33" s="194">
        <v>0.9</v>
      </c>
      <c r="F33" s="201">
        <f t="shared" ref="F33:F34" si="22">IF((+E33/G33)&lt;0,"n.m.",IF(E33&lt;0,(+E33/G33-1)*-1,(+E33/G33-1)))</f>
        <v>-0.30769230769230771</v>
      </c>
      <c r="G33" s="159">
        <v>1.3</v>
      </c>
      <c r="H33" s="201">
        <f t="shared" si="4"/>
        <v>0</v>
      </c>
      <c r="I33" s="312">
        <v>1.3</v>
      </c>
      <c r="J33" s="197">
        <f>IF((+I33/K33)&lt;0,"n.m.",IF(I33&lt;0,(+I33/K33-1)*-1,(+I33/K33-1)))</f>
        <v>0.36842105263157898</v>
      </c>
      <c r="K33" s="194">
        <v>0.95</v>
      </c>
      <c r="L33" s="197">
        <f>IF((+K33/M33)&lt;0,"n.m.",IF(K33&lt;0,(+K33/M33-1)*-1,(+K33/M33-1)))</f>
        <v>0.46153846153846145</v>
      </c>
      <c r="M33" s="159">
        <v>0.65</v>
      </c>
    </row>
    <row r="34" spans="1:13">
      <c r="A34" s="154" t="s">
        <v>23</v>
      </c>
      <c r="B34" s="340" t="s">
        <v>162</v>
      </c>
      <c r="C34" s="423"/>
      <c r="D34" s="340" t="s">
        <v>162</v>
      </c>
      <c r="E34" s="340">
        <f>E33/E28</f>
        <v>0.24842615012106595</v>
      </c>
      <c r="F34" s="201">
        <f t="shared" si="22"/>
        <v>-0.3415291488172808</v>
      </c>
      <c r="G34" s="340">
        <f>G33/G28</f>
        <v>0.37727736873219636</v>
      </c>
      <c r="H34" s="201">
        <f t="shared" si="4"/>
        <v>-0.21107789088996731</v>
      </c>
      <c r="I34" s="340">
        <f t="shared" ref="I34:K34" si="23">I33/I28</f>
        <v>0.4782187802516974</v>
      </c>
      <c r="J34" s="197">
        <f>IF((+I34/K34)&lt;0,"n.m.",IF(I34&lt;0,(+I34/K34-1)*-1,(+I34/K34-1)))</f>
        <v>0.36223909240671892</v>
      </c>
      <c r="K34" s="190">
        <f t="shared" si="23"/>
        <v>0.35105348460291969</v>
      </c>
      <c r="L34" s="197">
        <f>IF((+K34/M34)&lt;0,"n.m.",IF(K34&lt;0,(+K34/M34-1)*-1,(+K34/M34-1)))</f>
        <v>-0.1772957098727016</v>
      </c>
      <c r="M34" s="190">
        <f>M33/M28</f>
        <v>0.42670676306866057</v>
      </c>
    </row>
    <row r="35" spans="1:13">
      <c r="A35" s="154" t="s">
        <v>24</v>
      </c>
      <c r="B35" s="418">
        <v>3.0000000000000001E-3</v>
      </c>
      <c r="C35" s="427"/>
      <c r="D35" s="418">
        <v>7.0000000000000001E-3</v>
      </c>
      <c r="E35" s="418">
        <v>7.4999999999999997E-2</v>
      </c>
      <c r="F35" s="419"/>
      <c r="G35" s="418">
        <v>7.5999999999999998E-2</v>
      </c>
      <c r="H35" s="419"/>
      <c r="I35" s="420">
        <v>6.7000000000000004E-2</v>
      </c>
      <c r="J35" s="295"/>
      <c r="K35" s="316">
        <v>6.4000000000000001E-2</v>
      </c>
      <c r="L35" s="317"/>
      <c r="M35" s="317">
        <v>4.1000000000000002E-2</v>
      </c>
    </row>
    <row r="36" spans="1:13">
      <c r="A36" s="488"/>
      <c r="B36" s="428"/>
      <c r="C36" s="428"/>
      <c r="D36" s="428"/>
      <c r="E36" s="421"/>
      <c r="F36" s="421"/>
      <c r="G36" s="421"/>
      <c r="H36" s="421"/>
      <c r="I36" s="421"/>
      <c r="J36" s="421"/>
      <c r="K36" s="421"/>
      <c r="L36" s="421"/>
      <c r="M36" s="421"/>
    </row>
    <row r="37" spans="1:13" ht="32.1" customHeight="1">
      <c r="A37" s="162"/>
      <c r="B37" s="429"/>
      <c r="C37" s="430" t="s">
        <v>163</v>
      </c>
      <c r="D37" s="431"/>
      <c r="E37" s="390"/>
      <c r="F37" s="408" t="s">
        <v>155</v>
      </c>
      <c r="G37" s="405"/>
      <c r="H37" s="379" t="s">
        <v>152</v>
      </c>
      <c r="I37" s="163"/>
      <c r="J37" s="298" t="s">
        <v>134</v>
      </c>
      <c r="K37" s="163"/>
      <c r="L37" s="285" t="s">
        <v>131</v>
      </c>
      <c r="M37" s="392"/>
    </row>
    <row r="38" spans="1:13" s="2" customFormat="1">
      <c r="A38" s="164" t="s">
        <v>25</v>
      </c>
      <c r="B38" s="391">
        <f>SUM(B39:B48)</f>
        <v>5147.92</v>
      </c>
      <c r="C38" s="299">
        <f>B38/$B$74</f>
        <v>0.43080162314649068</v>
      </c>
      <c r="D38" s="406">
        <f>SUM(D39:D48)</f>
        <v>5277.48</v>
      </c>
      <c r="E38" s="391">
        <f>SUM(E39:E48)</f>
        <v>5249.8499999999995</v>
      </c>
      <c r="F38" s="299">
        <f>E38/$E$74</f>
        <v>0.42853084816432546</v>
      </c>
      <c r="G38" s="406">
        <f>SUM(G39:G48)</f>
        <v>4775.92</v>
      </c>
      <c r="H38" s="299">
        <f t="shared" ref="H38:H74" si="24">G38/$G$74</f>
        <v>0.41287007428500788</v>
      </c>
      <c r="I38" s="198">
        <f>SUM(I39:I48)</f>
        <v>4095.7399999999993</v>
      </c>
      <c r="J38" s="299">
        <f t="shared" ref="J38:J74" si="25">I38/$I$74</f>
        <v>0.37051705608406638</v>
      </c>
      <c r="K38" s="198">
        <f t="shared" ref="K38" si="26">SUM(K39:K48)</f>
        <v>4129.93</v>
      </c>
      <c r="L38" s="165">
        <f>K38/$K$74</f>
        <v>0.39793475108422199</v>
      </c>
      <c r="M38" s="393">
        <f>SUM(M39:M48)</f>
        <v>4284.0700000000006</v>
      </c>
    </row>
    <row r="39" spans="1:13">
      <c r="A39" s="154" t="s">
        <v>26</v>
      </c>
      <c r="B39" s="409">
        <v>489</v>
      </c>
      <c r="C39" s="300">
        <f t="shared" ref="C39:C74" si="27">B39/$B$74</f>
        <v>4.0921769125905984E-2</v>
      </c>
      <c r="D39" s="376">
        <v>494.17</v>
      </c>
      <c r="E39" s="409">
        <v>490.85</v>
      </c>
      <c r="F39" s="300">
        <f t="shared" ref="F39:F74" si="28">E39/$E$74</f>
        <v>4.0066738444233488E-2</v>
      </c>
      <c r="G39" s="376">
        <v>493.41</v>
      </c>
      <c r="H39" s="300">
        <f t="shared" si="24"/>
        <v>4.26544463376618E-2</v>
      </c>
      <c r="I39" s="358">
        <v>498.83</v>
      </c>
      <c r="J39" s="300">
        <f t="shared" si="25"/>
        <v>4.5126161105542552E-2</v>
      </c>
      <c r="K39" s="200">
        <v>496.4</v>
      </c>
      <c r="L39" s="166">
        <f t="shared" ref="L39:L74" si="29">K39/$K$74</f>
        <v>4.7830062601111341E-2</v>
      </c>
      <c r="M39" s="394">
        <v>510.8</v>
      </c>
    </row>
    <row r="40" spans="1:13" s="375" customFormat="1" ht="22.5">
      <c r="A40" s="371" t="s">
        <v>149</v>
      </c>
      <c r="B40" s="409">
        <v>521.12</v>
      </c>
      <c r="C40" s="300">
        <f t="shared" si="27"/>
        <v>4.3609718459902101E-2</v>
      </c>
      <c r="D40" s="376">
        <v>591.59</v>
      </c>
      <c r="E40" s="409">
        <v>530.36</v>
      </c>
      <c r="F40" s="300">
        <f t="shared" si="28"/>
        <v>4.3291831315643618E-2</v>
      </c>
      <c r="G40" s="376">
        <v>547.24</v>
      </c>
      <c r="H40" s="372">
        <f t="shared" si="24"/>
        <v>4.7307957304922967E-2</v>
      </c>
      <c r="I40" s="358">
        <v>0</v>
      </c>
      <c r="J40" s="372">
        <f t="shared" si="25"/>
        <v>0</v>
      </c>
      <c r="K40" s="358">
        <v>0</v>
      </c>
      <c r="L40" s="373">
        <f t="shared" si="29"/>
        <v>0</v>
      </c>
      <c r="M40" s="395">
        <v>0</v>
      </c>
    </row>
    <row r="41" spans="1:13">
      <c r="A41" s="154" t="s">
        <v>27</v>
      </c>
      <c r="B41" s="409">
        <v>2554.3900000000003</v>
      </c>
      <c r="C41" s="300">
        <f t="shared" si="27"/>
        <v>0.21376310396221473</v>
      </c>
      <c r="D41" s="376">
        <v>2552.6</v>
      </c>
      <c r="E41" s="409">
        <v>2632.49</v>
      </c>
      <c r="F41" s="300">
        <f t="shared" si="28"/>
        <v>0.21488293427128491</v>
      </c>
      <c r="G41" s="376">
        <v>2144.0100000000002</v>
      </c>
      <c r="H41" s="300">
        <f t="shared" si="24"/>
        <v>0.18534597898788083</v>
      </c>
      <c r="I41" s="358">
        <f>1936.03+6.24</f>
        <v>1942.27</v>
      </c>
      <c r="J41" s="300">
        <f t="shared" si="25"/>
        <v>0.1757055287983123</v>
      </c>
      <c r="K41" s="200">
        <v>1927.74</v>
      </c>
      <c r="L41" s="166">
        <f t="shared" si="29"/>
        <v>0.18574521530754712</v>
      </c>
      <c r="M41" s="394">
        <v>1881.52</v>
      </c>
    </row>
    <row r="42" spans="1:13">
      <c r="A42" s="154" t="s">
        <v>28</v>
      </c>
      <c r="B42" s="409">
        <v>0</v>
      </c>
      <c r="C42" s="300">
        <f t="shared" si="27"/>
        <v>0</v>
      </c>
      <c r="D42" s="376">
        <v>0</v>
      </c>
      <c r="E42" s="409">
        <v>0</v>
      </c>
      <c r="F42" s="300">
        <f t="shared" si="28"/>
        <v>0</v>
      </c>
      <c r="G42" s="376">
        <v>0</v>
      </c>
      <c r="H42" s="300">
        <v>0</v>
      </c>
      <c r="I42" s="358">
        <v>0</v>
      </c>
      <c r="J42" s="300">
        <v>0</v>
      </c>
      <c r="K42" s="200">
        <v>7.92</v>
      </c>
      <c r="L42" s="166">
        <f t="shared" si="29"/>
        <v>7.631226748606E-4</v>
      </c>
      <c r="M42" s="394">
        <v>13.82</v>
      </c>
    </row>
    <row r="43" spans="1:13">
      <c r="A43" s="154" t="s">
        <v>139</v>
      </c>
      <c r="B43" s="409">
        <v>444.27</v>
      </c>
      <c r="C43" s="300">
        <f t="shared" si="27"/>
        <v>3.7178556992978021E-2</v>
      </c>
      <c r="D43" s="376">
        <v>430.83</v>
      </c>
      <c r="E43" s="409">
        <v>454.53</v>
      </c>
      <c r="F43" s="300">
        <f t="shared" si="28"/>
        <v>3.7102036518401639E-2</v>
      </c>
      <c r="G43" s="376">
        <v>378.62</v>
      </c>
      <c r="H43" s="300">
        <f t="shared" si="24"/>
        <v>3.2731048159472871E-2</v>
      </c>
      <c r="I43" s="358">
        <v>350.01</v>
      </c>
      <c r="J43" s="300">
        <f t="shared" si="25"/>
        <v>3.1663307436503314E-2</v>
      </c>
      <c r="K43" s="200">
        <v>347.61</v>
      </c>
      <c r="L43" s="166">
        <f t="shared" si="29"/>
        <v>3.3493569824279444E-2</v>
      </c>
      <c r="M43" s="394">
        <v>373.42</v>
      </c>
    </row>
    <row r="44" spans="1:13">
      <c r="A44" s="154" t="s">
        <v>138</v>
      </c>
      <c r="B44" s="409">
        <v>172.19</v>
      </c>
      <c r="C44" s="300">
        <f t="shared" si="27"/>
        <v>1.4409651177484155E-2</v>
      </c>
      <c r="D44" s="376">
        <v>177.58</v>
      </c>
      <c r="E44" s="409">
        <v>175.06</v>
      </c>
      <c r="F44" s="300">
        <f>E44/$E$74</f>
        <v>1.4289667377095883E-2</v>
      </c>
      <c r="G44" s="376">
        <v>185.3</v>
      </c>
      <c r="H44" s="300">
        <f t="shared" si="24"/>
        <v>1.601886647284962E-2</v>
      </c>
      <c r="I44" s="358">
        <v>182.7</v>
      </c>
      <c r="J44" s="300">
        <f t="shared" si="25"/>
        <v>1.6527774259733022E-2</v>
      </c>
      <c r="K44" s="200">
        <v>166.73</v>
      </c>
      <c r="L44" s="166">
        <f t="shared" si="29"/>
        <v>1.6065081260038867E-2</v>
      </c>
      <c r="M44" s="394">
        <v>201.9</v>
      </c>
    </row>
    <row r="45" spans="1:13" ht="22.5">
      <c r="A45" s="154" t="s">
        <v>140</v>
      </c>
      <c r="B45" s="409">
        <v>581.58000000000004</v>
      </c>
      <c r="C45" s="300">
        <f t="shared" si="27"/>
        <v>4.8669289342013096E-2</v>
      </c>
      <c r="D45" s="376">
        <v>612.12</v>
      </c>
      <c r="E45" s="409">
        <v>599.04</v>
      </c>
      <c r="F45" s="300">
        <f t="shared" si="28"/>
        <v>4.8897991234865289E-2</v>
      </c>
      <c r="G45" s="376">
        <v>630.26</v>
      </c>
      <c r="H45" s="300">
        <f t="shared" si="24"/>
        <v>5.4484893595133303E-2</v>
      </c>
      <c r="I45" s="358">
        <v>662.31</v>
      </c>
      <c r="J45" s="300">
        <f t="shared" si="25"/>
        <v>5.9915217131711974E-2</v>
      </c>
      <c r="K45" s="200">
        <v>683.49</v>
      </c>
      <c r="L45" s="166">
        <f t="shared" si="29"/>
        <v>6.5856908717231252E-2</v>
      </c>
      <c r="M45" s="394">
        <v>710.25</v>
      </c>
    </row>
    <row r="46" spans="1:13">
      <c r="A46" s="154" t="s">
        <v>31</v>
      </c>
      <c r="B46" s="410">
        <v>0</v>
      </c>
      <c r="C46" s="300">
        <f t="shared" si="27"/>
        <v>0</v>
      </c>
      <c r="D46" s="350">
        <v>0</v>
      </c>
      <c r="E46" s="410">
        <v>0</v>
      </c>
      <c r="F46" s="300">
        <f t="shared" si="28"/>
        <v>0</v>
      </c>
      <c r="G46" s="350">
        <v>0</v>
      </c>
      <c r="H46" s="300">
        <f t="shared" si="24"/>
        <v>0</v>
      </c>
      <c r="I46" s="374">
        <v>0</v>
      </c>
      <c r="J46" s="300">
        <f t="shared" si="25"/>
        <v>0</v>
      </c>
      <c r="K46" s="200">
        <v>0</v>
      </c>
      <c r="L46" s="166">
        <f t="shared" si="29"/>
        <v>0</v>
      </c>
      <c r="M46" s="394">
        <v>75.09</v>
      </c>
    </row>
    <row r="47" spans="1:13">
      <c r="A47" s="154" t="s">
        <v>29</v>
      </c>
      <c r="B47" s="409">
        <v>228.33</v>
      </c>
      <c r="C47" s="300">
        <f t="shared" si="27"/>
        <v>1.9107704590016594E-2</v>
      </c>
      <c r="D47" s="376">
        <v>258.42</v>
      </c>
      <c r="E47" s="409">
        <v>229.9</v>
      </c>
      <c r="F47" s="300">
        <f t="shared" si="28"/>
        <v>1.8766106077883832E-2</v>
      </c>
      <c r="G47" s="376">
        <f>250.14</f>
        <v>250.14</v>
      </c>
      <c r="H47" s="300">
        <f t="shared" si="24"/>
        <v>2.1624173014131699E-2</v>
      </c>
      <c r="I47" s="358">
        <v>270.64999999999998</v>
      </c>
      <c r="J47" s="300">
        <f t="shared" si="25"/>
        <v>2.4484083762434279E-2</v>
      </c>
      <c r="K47" s="200">
        <v>254.22</v>
      </c>
      <c r="L47" s="166">
        <f t="shared" si="29"/>
        <v>2.44950816165482E-2</v>
      </c>
      <c r="M47" s="394">
        <v>225.34</v>
      </c>
    </row>
    <row r="48" spans="1:13">
      <c r="A48" s="154" t="s">
        <v>33</v>
      </c>
      <c r="B48" s="409">
        <v>157.04</v>
      </c>
      <c r="C48" s="300">
        <f t="shared" si="27"/>
        <v>1.3141829495976025E-2</v>
      </c>
      <c r="D48" s="376">
        <v>160.16999999999999</v>
      </c>
      <c r="E48" s="409">
        <v>137.62</v>
      </c>
      <c r="F48" s="300">
        <f t="shared" si="28"/>
        <v>1.1233542924916802E-2</v>
      </c>
      <c r="G48" s="376">
        <v>146.94</v>
      </c>
      <c r="H48" s="300">
        <f t="shared" si="24"/>
        <v>1.2702710412954793E-2</v>
      </c>
      <c r="I48" s="358">
        <v>188.97</v>
      </c>
      <c r="J48" s="300">
        <f t="shared" si="25"/>
        <v>1.7094983589828951E-2</v>
      </c>
      <c r="K48" s="200">
        <v>245.82</v>
      </c>
      <c r="L48" s="166">
        <f t="shared" si="29"/>
        <v>2.3685709082605137E-2</v>
      </c>
      <c r="M48" s="394">
        <v>291.93</v>
      </c>
    </row>
    <row r="49" spans="1:13" s="2" customFormat="1">
      <c r="A49" s="152" t="s">
        <v>34</v>
      </c>
      <c r="B49" s="391">
        <f>SUM(B50:B56)</f>
        <v>6801.7100000000009</v>
      </c>
      <c r="C49" s="299">
        <f t="shared" si="27"/>
        <v>0.56919837685350927</v>
      </c>
      <c r="D49" s="407">
        <f>SUM(D50:D56)</f>
        <v>6526.5300000000007</v>
      </c>
      <c r="E49" s="391">
        <f>SUM(E50:E56)</f>
        <v>7000.9599999999991</v>
      </c>
      <c r="F49" s="299">
        <f t="shared" si="28"/>
        <v>0.57146915183567448</v>
      </c>
      <c r="G49" s="407">
        <f>SUM(G50:G56)</f>
        <v>6791.6869999999999</v>
      </c>
      <c r="H49" s="299">
        <f t="shared" si="24"/>
        <v>0.58712966637014907</v>
      </c>
      <c r="I49" s="297">
        <f>SUM(I50:I56)</f>
        <v>6958.38</v>
      </c>
      <c r="J49" s="299">
        <f t="shared" si="25"/>
        <v>0.62948294391593362</v>
      </c>
      <c r="K49" s="198">
        <f t="shared" ref="K49" si="30">SUM(K50:K56)</f>
        <v>6248.4800000000005</v>
      </c>
      <c r="L49" s="165">
        <f t="shared" si="29"/>
        <v>0.60206524891577806</v>
      </c>
      <c r="M49" s="393">
        <f>SUM(M50:M56)</f>
        <v>6444.8</v>
      </c>
    </row>
    <row r="50" spans="1:13">
      <c r="A50" s="154" t="s">
        <v>35</v>
      </c>
      <c r="B50" s="409">
        <v>1042.93</v>
      </c>
      <c r="C50" s="300">
        <f t="shared" si="27"/>
        <v>8.7277179293417453E-2</v>
      </c>
      <c r="D50" s="376">
        <v>938.67</v>
      </c>
      <c r="E50" s="409">
        <v>983.55</v>
      </c>
      <c r="F50" s="300">
        <f t="shared" si="28"/>
        <v>8.0284487311451241E-2</v>
      </c>
      <c r="G50" s="376">
        <v>890.16</v>
      </c>
      <c r="H50" s="300">
        <f t="shared" si="24"/>
        <v>7.6952801832011961E-2</v>
      </c>
      <c r="I50" s="358">
        <v>1137.8</v>
      </c>
      <c r="J50" s="300">
        <f t="shared" si="25"/>
        <v>0.10292994829077304</v>
      </c>
      <c r="K50" s="200">
        <v>1182.81</v>
      </c>
      <c r="L50" s="166">
        <f t="shared" si="29"/>
        <v>0.11396832462776089</v>
      </c>
      <c r="M50" s="394">
        <v>801.7</v>
      </c>
    </row>
    <row r="51" spans="1:13">
      <c r="A51" s="154" t="s">
        <v>30</v>
      </c>
      <c r="B51" s="409">
        <v>40.9</v>
      </c>
      <c r="C51" s="300">
        <f t="shared" si="27"/>
        <v>3.4227001170747543E-3</v>
      </c>
      <c r="D51" s="376">
        <v>37.72</v>
      </c>
      <c r="E51" s="409">
        <v>39.32</v>
      </c>
      <c r="F51" s="300">
        <f t="shared" si="28"/>
        <v>3.2095836928333721E-3</v>
      </c>
      <c r="G51" s="376">
        <v>36.270000000000003</v>
      </c>
      <c r="H51" s="300">
        <f t="shared" si="24"/>
        <v>3.1354791525647911E-3</v>
      </c>
      <c r="I51" s="358">
        <v>33.72</v>
      </c>
      <c r="J51" s="300">
        <f t="shared" si="25"/>
        <v>3.0504463494154216E-3</v>
      </c>
      <c r="K51" s="200">
        <v>31.18</v>
      </c>
      <c r="L51" s="166">
        <f t="shared" si="29"/>
        <v>3.0043137628981702E-3</v>
      </c>
      <c r="M51" s="394">
        <v>28.83</v>
      </c>
    </row>
    <row r="52" spans="1:13" s="380" customFormat="1">
      <c r="A52" s="371" t="s">
        <v>153</v>
      </c>
      <c r="B52" s="409">
        <v>1638.61</v>
      </c>
      <c r="C52" s="300">
        <f t="shared" si="27"/>
        <v>0.13712642148752721</v>
      </c>
      <c r="D52" s="376">
        <v>1901.84</v>
      </c>
      <c r="E52" s="409">
        <v>1354.9</v>
      </c>
      <c r="F52" s="300">
        <f t="shared" si="28"/>
        <v>0.11059676870345717</v>
      </c>
      <c r="G52" s="376">
        <v>1282.9100000000001</v>
      </c>
      <c r="H52" s="300">
        <f t="shared" si="24"/>
        <v>0.11090536420228553</v>
      </c>
      <c r="I52" s="358">
        <v>0</v>
      </c>
      <c r="J52" s="300">
        <f t="shared" si="25"/>
        <v>0</v>
      </c>
      <c r="K52" s="358">
        <v>0</v>
      </c>
      <c r="L52" s="166">
        <f t="shared" si="29"/>
        <v>0</v>
      </c>
      <c r="M52" s="394">
        <v>0</v>
      </c>
    </row>
    <row r="53" spans="1:13">
      <c r="A53" s="154" t="s">
        <v>31</v>
      </c>
      <c r="B53" s="409">
        <v>1653.17</v>
      </c>
      <c r="C53" s="300">
        <f t="shared" si="27"/>
        <v>0.13834486925536607</v>
      </c>
      <c r="D53" s="376">
        <v>1591.79</v>
      </c>
      <c r="E53" s="409">
        <v>1700.73</v>
      </c>
      <c r="F53" s="300">
        <f t="shared" si="28"/>
        <v>0.13882592253083675</v>
      </c>
      <c r="G53" s="376">
        <v>1735.93</v>
      </c>
      <c r="H53" s="300">
        <f t="shared" si="24"/>
        <v>0.1500681644695836</v>
      </c>
      <c r="I53" s="358">
        <v>2532.92</v>
      </c>
      <c r="J53" s="300">
        <f t="shared" si="25"/>
        <v>0.2291380951174766</v>
      </c>
      <c r="K53" s="200">
        <v>2444.4</v>
      </c>
      <c r="L53" s="166">
        <f t="shared" si="29"/>
        <v>0.23552740737743066</v>
      </c>
      <c r="M53" s="394">
        <v>2317.88</v>
      </c>
    </row>
    <row r="54" spans="1:13" ht="22.5">
      <c r="A54" s="154" t="s">
        <v>32</v>
      </c>
      <c r="B54" s="409">
        <v>406.5</v>
      </c>
      <c r="C54" s="300">
        <f t="shared" si="27"/>
        <v>3.4017789672148843E-2</v>
      </c>
      <c r="D54" s="376">
        <v>466.40999999999997</v>
      </c>
      <c r="E54" s="409">
        <f>128.4+43.71+289.54</f>
        <v>461.65000000000003</v>
      </c>
      <c r="F54" s="300">
        <f t="shared" si="28"/>
        <v>3.7683222578751938E-2</v>
      </c>
      <c r="G54" s="376">
        <f>127.008+40.2+293.381</f>
        <v>460.58899999999994</v>
      </c>
      <c r="H54" s="300">
        <f t="shared" si="24"/>
        <v>3.9817127306332072E-2</v>
      </c>
      <c r="I54" s="358">
        <f>82.84+63.88+316.77</f>
        <v>463.49</v>
      </c>
      <c r="J54" s="300">
        <f t="shared" si="25"/>
        <v>4.1929163063183686E-2</v>
      </c>
      <c r="K54" s="200">
        <v>586.82999999999993</v>
      </c>
      <c r="L54" s="166">
        <f t="shared" si="29"/>
        <v>5.6543343344500743E-2</v>
      </c>
      <c r="M54" s="394">
        <v>494.06</v>
      </c>
    </row>
    <row r="55" spans="1:13">
      <c r="A55" s="154" t="s">
        <v>36</v>
      </c>
      <c r="B55" s="409">
        <v>2019.6</v>
      </c>
      <c r="C55" s="300">
        <f t="shared" si="27"/>
        <v>0.1690094170279749</v>
      </c>
      <c r="D55" s="376">
        <v>1590.1</v>
      </c>
      <c r="E55" s="409">
        <v>2460.81</v>
      </c>
      <c r="F55" s="300">
        <f t="shared" si="28"/>
        <v>0.20086916701834409</v>
      </c>
      <c r="G55" s="376">
        <v>2385.828</v>
      </c>
      <c r="H55" s="300">
        <f t="shared" si="24"/>
        <v>0.20625072940737108</v>
      </c>
      <c r="I55" s="358">
        <v>2790.45</v>
      </c>
      <c r="J55" s="300">
        <f t="shared" si="25"/>
        <v>0.25243529109508489</v>
      </c>
      <c r="K55" s="200">
        <v>2003.26</v>
      </c>
      <c r="L55" s="166">
        <f t="shared" si="29"/>
        <v>0.19302185980318759</v>
      </c>
      <c r="M55" s="394">
        <v>2732.33</v>
      </c>
    </row>
    <row r="56" spans="1:13">
      <c r="A56" s="154" t="s">
        <v>129</v>
      </c>
      <c r="B56" s="411">
        <v>0</v>
      </c>
      <c r="C56" s="300">
        <f t="shared" si="27"/>
        <v>0</v>
      </c>
      <c r="D56" s="417">
        <v>0</v>
      </c>
      <c r="E56" s="411">
        <v>0</v>
      </c>
      <c r="F56" s="300">
        <f t="shared" si="28"/>
        <v>0</v>
      </c>
      <c r="G56" s="417">
        <v>0</v>
      </c>
      <c r="H56" s="300">
        <f t="shared" si="24"/>
        <v>0</v>
      </c>
      <c r="I56" s="199">
        <v>0</v>
      </c>
      <c r="J56" s="300">
        <f t="shared" si="25"/>
        <v>0</v>
      </c>
      <c r="K56" s="199">
        <v>0</v>
      </c>
      <c r="L56" s="166">
        <f t="shared" si="29"/>
        <v>0</v>
      </c>
      <c r="M56" s="396">
        <v>70</v>
      </c>
    </row>
    <row r="57" spans="1:13" s="2" customFormat="1">
      <c r="A57" s="152" t="s">
        <v>37</v>
      </c>
      <c r="B57" s="391">
        <f>SUM(B58:B61)</f>
        <v>3793.9500000000003</v>
      </c>
      <c r="C57" s="299">
        <f t="shared" si="27"/>
        <v>0.31749518604341725</v>
      </c>
      <c r="D57" s="407">
        <f>SUM(D58:D61)</f>
        <v>3532.57</v>
      </c>
      <c r="E57" s="391">
        <f>SUM(E58:E61)</f>
        <v>3855.8999999999996</v>
      </c>
      <c r="F57" s="299">
        <f t="shared" si="28"/>
        <v>0.31474653512706507</v>
      </c>
      <c r="G57" s="407">
        <f>SUM(G58:G61)</f>
        <v>3653.7700000000004</v>
      </c>
      <c r="H57" s="299">
        <f t="shared" si="24"/>
        <v>0.31586213573936189</v>
      </c>
      <c r="I57" s="297">
        <f>SUM(I58:I61)</f>
        <v>3397.7200000000003</v>
      </c>
      <c r="J57" s="299">
        <f t="shared" si="25"/>
        <v>0.30737136922703939</v>
      </c>
      <c r="K57" s="198">
        <f t="shared" ref="K57" si="31">SUM(K58:K61)</f>
        <v>3264.59</v>
      </c>
      <c r="L57" s="165">
        <f t="shared" si="29"/>
        <v>0.31455589054585437</v>
      </c>
      <c r="M57" s="393">
        <f>SUM(M58:M61)</f>
        <v>3320.63</v>
      </c>
    </row>
    <row r="58" spans="1:13">
      <c r="A58" s="154" t="s">
        <v>38</v>
      </c>
      <c r="B58" s="409">
        <v>110</v>
      </c>
      <c r="C58" s="300">
        <f t="shared" si="27"/>
        <v>9.2053059383428604E-3</v>
      </c>
      <c r="D58" s="376">
        <v>110</v>
      </c>
      <c r="E58" s="409">
        <v>110</v>
      </c>
      <c r="F58" s="300">
        <f t="shared" si="28"/>
        <v>8.9789981233893926E-3</v>
      </c>
      <c r="G58" s="376">
        <v>110</v>
      </c>
      <c r="H58" s="300">
        <f t="shared" si="24"/>
        <v>9.5093109121071676E-3</v>
      </c>
      <c r="I58" s="358">
        <v>110</v>
      </c>
      <c r="J58" s="300">
        <f t="shared" si="25"/>
        <v>9.9510408788759316E-3</v>
      </c>
      <c r="K58" s="200">
        <v>110</v>
      </c>
      <c r="L58" s="166">
        <f t="shared" si="29"/>
        <v>1.0598926039730555E-2</v>
      </c>
      <c r="M58" s="394">
        <v>114</v>
      </c>
    </row>
    <row r="59" spans="1:13">
      <c r="A59" s="154" t="s">
        <v>39</v>
      </c>
      <c r="B59" s="409">
        <v>2315.38</v>
      </c>
      <c r="C59" s="300">
        <f t="shared" si="27"/>
        <v>0.19376164785018449</v>
      </c>
      <c r="D59" s="376">
        <v>2315.38</v>
      </c>
      <c r="E59" s="409">
        <v>2315.38</v>
      </c>
      <c r="F59" s="300">
        <f t="shared" si="28"/>
        <v>0.18899811522666665</v>
      </c>
      <c r="G59" s="376">
        <v>2315.38</v>
      </c>
      <c r="H59" s="300">
        <f t="shared" si="24"/>
        <v>0.2001606209061336</v>
      </c>
      <c r="I59" s="358">
        <v>2315.38</v>
      </c>
      <c r="J59" s="300">
        <f t="shared" si="25"/>
        <v>0.20945855481937958</v>
      </c>
      <c r="K59" s="200">
        <v>2315.38</v>
      </c>
      <c r="L59" s="166">
        <f t="shared" si="29"/>
        <v>0.22309583067155761</v>
      </c>
      <c r="M59" s="394">
        <v>2311.38</v>
      </c>
    </row>
    <row r="60" spans="1:13" ht="22.5">
      <c r="A60" s="154" t="s">
        <v>141</v>
      </c>
      <c r="B60" s="409">
        <v>1337.92</v>
      </c>
      <c r="C60" s="300">
        <f t="shared" si="27"/>
        <v>0.11196329928206981</v>
      </c>
      <c r="D60" s="376">
        <v>1074.73</v>
      </c>
      <c r="E60" s="409">
        <v>1396.82</v>
      </c>
      <c r="F60" s="300">
        <f t="shared" si="28"/>
        <v>0.11401858326102519</v>
      </c>
      <c r="G60" s="376">
        <v>1195.3</v>
      </c>
      <c r="H60" s="300">
        <f t="shared" si="24"/>
        <v>0.10333163030219725</v>
      </c>
      <c r="I60" s="358">
        <v>945.09</v>
      </c>
      <c r="J60" s="300">
        <f t="shared" si="25"/>
        <v>8.5496629311062305E-2</v>
      </c>
      <c r="K60" s="200">
        <v>760.66</v>
      </c>
      <c r="L60" s="166">
        <f t="shared" si="29"/>
        <v>7.3292537103467684E-2</v>
      </c>
      <c r="M60" s="394">
        <v>613.65</v>
      </c>
    </row>
    <row r="61" spans="1:13">
      <c r="A61" s="154" t="s">
        <v>40</v>
      </c>
      <c r="B61" s="409">
        <v>30.65</v>
      </c>
      <c r="C61" s="300">
        <f t="shared" si="27"/>
        <v>2.5649329728200786E-3</v>
      </c>
      <c r="D61" s="376">
        <v>32.46</v>
      </c>
      <c r="E61" s="409">
        <v>33.700000000000003</v>
      </c>
      <c r="F61" s="300">
        <f t="shared" si="28"/>
        <v>2.7508385159838414E-3</v>
      </c>
      <c r="G61" s="376">
        <v>33.090000000000003</v>
      </c>
      <c r="H61" s="300">
        <f t="shared" si="24"/>
        <v>2.8605736189238748E-3</v>
      </c>
      <c r="I61" s="358">
        <v>27.25</v>
      </c>
      <c r="J61" s="300">
        <f t="shared" si="25"/>
        <v>2.4651442177215377E-3</v>
      </c>
      <c r="K61" s="200">
        <v>78.55</v>
      </c>
      <c r="L61" s="166">
        <f t="shared" si="29"/>
        <v>7.5685967310985015E-3</v>
      </c>
      <c r="M61" s="394">
        <v>281.60000000000002</v>
      </c>
    </row>
    <row r="62" spans="1:13" s="2" customFormat="1">
      <c r="A62" s="152" t="s">
        <v>41</v>
      </c>
      <c r="B62" s="391">
        <f>SUM(B63:B67)</f>
        <v>2299.6800000000003</v>
      </c>
      <c r="C62" s="299">
        <f t="shared" si="27"/>
        <v>0.19244779963898465</v>
      </c>
      <c r="D62" s="407">
        <f>SUM(D63:D67)</f>
        <v>2464.7800000000002</v>
      </c>
      <c r="E62" s="391">
        <f>SUM(E63:E67)</f>
        <v>2344.5299999999997</v>
      </c>
      <c r="F62" s="299">
        <f t="shared" si="28"/>
        <v>0.19137754972936483</v>
      </c>
      <c r="G62" s="407">
        <f>SUM(G63:G67)</f>
        <v>2326.19</v>
      </c>
      <c r="H62" s="299">
        <f t="shared" si="24"/>
        <v>0.20109512682395067</v>
      </c>
      <c r="I62" s="297">
        <f>SUM(I63:I67)</f>
        <v>2145.36</v>
      </c>
      <c r="J62" s="299">
        <f t="shared" si="25"/>
        <v>0.19407786418095699</v>
      </c>
      <c r="K62" s="198">
        <f t="shared" ref="K62" si="32">SUM(K63:K67)</f>
        <v>2489.0399999999995</v>
      </c>
      <c r="L62" s="165">
        <f t="shared" si="29"/>
        <v>0.23982864427209943</v>
      </c>
      <c r="M62" s="393">
        <f>SUM(M63:M67)</f>
        <v>2519.25</v>
      </c>
    </row>
    <row r="63" spans="1:13">
      <c r="A63" s="154" t="s">
        <v>42</v>
      </c>
      <c r="B63" s="414">
        <v>1106.71</v>
      </c>
      <c r="C63" s="300">
        <f t="shared" si="27"/>
        <v>9.2614583045667512E-2</v>
      </c>
      <c r="D63" s="376">
        <v>1146.24</v>
      </c>
      <c r="E63" s="414">
        <v>1136.92</v>
      </c>
      <c r="F63" s="300">
        <f t="shared" si="28"/>
        <v>9.280365951312608E-2</v>
      </c>
      <c r="G63" s="376">
        <v>1116.5899999999999</v>
      </c>
      <c r="H63" s="300">
        <f t="shared" si="24"/>
        <v>9.6527286103179469E-2</v>
      </c>
      <c r="I63" s="358">
        <v>1160.54</v>
      </c>
      <c r="J63" s="300">
        <f t="shared" si="25"/>
        <v>0.10498709983246067</v>
      </c>
      <c r="K63" s="200">
        <v>1180.3699999999999</v>
      </c>
      <c r="L63" s="166">
        <f t="shared" si="29"/>
        <v>0.11373322117742506</v>
      </c>
      <c r="M63" s="394">
        <v>1093.3800000000001</v>
      </c>
    </row>
    <row r="64" spans="1:13">
      <c r="A64" s="154" t="s">
        <v>43</v>
      </c>
      <c r="B64" s="414">
        <v>1004.71</v>
      </c>
      <c r="C64" s="300">
        <f t="shared" si="27"/>
        <v>8.4078753902840503E-2</v>
      </c>
      <c r="D64" s="376">
        <v>1115.8900000000001</v>
      </c>
      <c r="E64" s="414">
        <v>1066.7</v>
      </c>
      <c r="F64" s="300">
        <f t="shared" si="28"/>
        <v>8.707179362017696E-2</v>
      </c>
      <c r="G64" s="376">
        <v>1087.6199999999999</v>
      </c>
      <c r="H64" s="300">
        <f t="shared" si="24"/>
        <v>9.4022879402054518E-2</v>
      </c>
      <c r="I64" s="358">
        <v>882.88</v>
      </c>
      <c r="J64" s="300">
        <f t="shared" si="25"/>
        <v>7.9868863374018023E-2</v>
      </c>
      <c r="K64" s="200">
        <v>1223.53</v>
      </c>
      <c r="L64" s="166">
        <f t="shared" si="29"/>
        <v>0.11789185433992297</v>
      </c>
      <c r="M64" s="394">
        <v>1293.75</v>
      </c>
    </row>
    <row r="65" spans="1:13">
      <c r="A65" s="154" t="s">
        <v>44</v>
      </c>
      <c r="B65" s="415">
        <v>0</v>
      </c>
      <c r="C65" s="300">
        <f t="shared" si="27"/>
        <v>0</v>
      </c>
      <c r="D65" s="350">
        <v>0</v>
      </c>
      <c r="E65" s="415">
        <v>0</v>
      </c>
      <c r="F65" s="300">
        <f t="shared" si="28"/>
        <v>0</v>
      </c>
      <c r="G65" s="350">
        <v>0</v>
      </c>
      <c r="H65" s="300">
        <f t="shared" si="24"/>
        <v>0</v>
      </c>
      <c r="I65" s="350">
        <v>0</v>
      </c>
      <c r="J65" s="300">
        <f t="shared" si="25"/>
        <v>0</v>
      </c>
      <c r="K65" s="200">
        <v>0</v>
      </c>
      <c r="L65" s="166">
        <f t="shared" si="29"/>
        <v>0</v>
      </c>
      <c r="M65" s="394">
        <v>78.38000000000001</v>
      </c>
    </row>
    <row r="66" spans="1:13">
      <c r="A66" s="154" t="s">
        <v>45</v>
      </c>
      <c r="B66" s="414">
        <v>105.48</v>
      </c>
      <c r="C66" s="300">
        <f t="shared" si="27"/>
        <v>8.8270515488764086E-3</v>
      </c>
      <c r="D66" s="376">
        <v>93.11</v>
      </c>
      <c r="E66" s="414">
        <v>92.21</v>
      </c>
      <c r="F66" s="300">
        <f t="shared" si="28"/>
        <v>7.5268492450703255E-3</v>
      </c>
      <c r="G66" s="376">
        <v>78.760000000000005</v>
      </c>
      <c r="H66" s="300">
        <f t="shared" si="24"/>
        <v>6.8086666130687326E-3</v>
      </c>
      <c r="I66" s="358">
        <f>77.71</f>
        <v>77.709999999999994</v>
      </c>
      <c r="J66" s="300">
        <f t="shared" si="25"/>
        <v>7.0299580608858964E-3</v>
      </c>
      <c r="K66" s="200">
        <v>63.75</v>
      </c>
      <c r="L66" s="166">
        <f t="shared" si="29"/>
        <v>6.1425594093892999E-3</v>
      </c>
      <c r="M66" s="394">
        <v>17.68</v>
      </c>
    </row>
    <row r="67" spans="1:13">
      <c r="A67" s="154" t="s">
        <v>46</v>
      </c>
      <c r="B67" s="414">
        <v>82.78</v>
      </c>
      <c r="C67" s="300">
        <f t="shared" si="27"/>
        <v>6.9274111416002E-3</v>
      </c>
      <c r="D67" s="376">
        <v>109.54</v>
      </c>
      <c r="E67" s="414">
        <v>48.7</v>
      </c>
      <c r="F67" s="300">
        <f t="shared" si="28"/>
        <v>3.9752473509914862E-3</v>
      </c>
      <c r="G67" s="376">
        <v>43.22</v>
      </c>
      <c r="H67" s="300">
        <f t="shared" si="24"/>
        <v>3.7362947056479253E-3</v>
      </c>
      <c r="I67" s="376">
        <v>24.23</v>
      </c>
      <c r="J67" s="300">
        <f t="shared" si="25"/>
        <v>2.1919429135923985E-3</v>
      </c>
      <c r="K67" s="200">
        <v>21.39</v>
      </c>
      <c r="L67" s="166">
        <f t="shared" si="29"/>
        <v>2.0610093453621511E-3</v>
      </c>
      <c r="M67" s="394">
        <v>36.06</v>
      </c>
    </row>
    <row r="68" spans="1:13" s="2" customFormat="1">
      <c r="A68" s="152" t="s">
        <v>47</v>
      </c>
      <c r="B68" s="416">
        <f>SUM(B69:B73)</f>
        <v>5856</v>
      </c>
      <c r="C68" s="299">
        <f>B68/$B$74</f>
        <v>0.49005701431759807</v>
      </c>
      <c r="D68" s="377">
        <f>SUM(D69:D73)</f>
        <v>5806.66</v>
      </c>
      <c r="E68" s="416">
        <f>SUM(E69:E73)</f>
        <v>6050.38</v>
      </c>
      <c r="F68" s="299">
        <f>E68/$E$74</f>
        <v>0.49387591514357015</v>
      </c>
      <c r="G68" s="377">
        <f>SUM(G69:G73)</f>
        <v>5587.6500000000005</v>
      </c>
      <c r="H68" s="299">
        <f t="shared" si="24"/>
        <v>0.48304273743668746</v>
      </c>
      <c r="I68" s="377">
        <f>SUM(I69:I73)</f>
        <v>5511.04</v>
      </c>
      <c r="J68" s="299">
        <f t="shared" si="25"/>
        <v>0.49855076659200376</v>
      </c>
      <c r="K68" s="283">
        <f t="shared" ref="K68" si="33">SUM(K69:K73)</f>
        <v>4624.7800000000007</v>
      </c>
      <c r="L68" s="165">
        <f t="shared" si="29"/>
        <v>0.44561546518204626</v>
      </c>
      <c r="M68" s="397">
        <f>SUM(M69:M73)</f>
        <v>4888.99</v>
      </c>
    </row>
    <row r="69" spans="1:13">
      <c r="A69" s="154" t="s">
        <v>42</v>
      </c>
      <c r="B69" s="414">
        <v>867.45</v>
      </c>
      <c r="C69" s="300">
        <f t="shared" si="27"/>
        <v>7.2592205783777397E-2</v>
      </c>
      <c r="D69" s="376">
        <v>750.34</v>
      </c>
      <c r="E69" s="414">
        <v>893.31</v>
      </c>
      <c r="F69" s="300">
        <f t="shared" si="28"/>
        <v>7.2918443760045248E-2</v>
      </c>
      <c r="G69" s="376">
        <v>734.48</v>
      </c>
      <c r="H69" s="300">
        <f t="shared" si="24"/>
        <v>6.3494533442949752E-2</v>
      </c>
      <c r="I69" s="376">
        <v>747.32</v>
      </c>
      <c r="J69" s="300">
        <f t="shared" si="25"/>
        <v>6.7605562450923293E-2</v>
      </c>
      <c r="K69" s="200">
        <v>741.71</v>
      </c>
      <c r="L69" s="166">
        <f t="shared" si="29"/>
        <v>7.1466631208441378E-2</v>
      </c>
      <c r="M69" s="394">
        <v>774.05</v>
      </c>
    </row>
    <row r="70" spans="1:13">
      <c r="A70" s="154" t="s">
        <v>43</v>
      </c>
      <c r="B70" s="414">
        <v>155.96</v>
      </c>
      <c r="C70" s="300">
        <f t="shared" si="27"/>
        <v>1.3051450128581386E-2</v>
      </c>
      <c r="D70" s="376">
        <v>408.18</v>
      </c>
      <c r="E70" s="414">
        <v>355.51</v>
      </c>
      <c r="F70" s="300">
        <f t="shared" si="28"/>
        <v>2.9019305662237843E-2</v>
      </c>
      <c r="G70" s="376">
        <v>275.70999999999998</v>
      </c>
      <c r="H70" s="300">
        <f t="shared" si="24"/>
        <v>2.3834655559791518E-2</v>
      </c>
      <c r="I70" s="376">
        <v>411.1</v>
      </c>
      <c r="J70" s="300">
        <f t="shared" si="25"/>
        <v>3.718975368459905E-2</v>
      </c>
      <c r="K70" s="200">
        <v>202.55</v>
      </c>
      <c r="L70" s="166">
        <f t="shared" si="29"/>
        <v>1.9516476994067493E-2</v>
      </c>
      <c r="M70" s="394">
        <v>285.99</v>
      </c>
    </row>
    <row r="71" spans="1:13" s="380" customFormat="1">
      <c r="A71" s="371" t="s">
        <v>154</v>
      </c>
      <c r="B71" s="414">
        <v>1015.46</v>
      </c>
      <c r="C71" s="300">
        <f t="shared" si="27"/>
        <v>8.4978363346814911E-2</v>
      </c>
      <c r="D71" s="376">
        <v>830.87</v>
      </c>
      <c r="E71" s="414">
        <v>957.24</v>
      </c>
      <c r="F71" s="300">
        <f t="shared" si="28"/>
        <v>7.8136874214847843E-2</v>
      </c>
      <c r="G71" s="376">
        <v>974.57</v>
      </c>
      <c r="H71" s="300">
        <f t="shared" si="24"/>
        <v>8.4249901232838931E-2</v>
      </c>
      <c r="I71" s="376">
        <v>0</v>
      </c>
      <c r="J71" s="300">
        <f t="shared" si="25"/>
        <v>0</v>
      </c>
      <c r="K71" s="358">
        <v>0</v>
      </c>
      <c r="L71" s="166">
        <f t="shared" si="29"/>
        <v>0</v>
      </c>
      <c r="M71" s="394">
        <v>0</v>
      </c>
    </row>
    <row r="72" spans="1:13">
      <c r="A72" s="154" t="s">
        <v>44</v>
      </c>
      <c r="B72" s="414">
        <v>2898.35</v>
      </c>
      <c r="C72" s="300">
        <f t="shared" si="27"/>
        <v>0.24254725878541844</v>
      </c>
      <c r="D72" s="376">
        <v>2810.07</v>
      </c>
      <c r="E72" s="414">
        <v>2826.64</v>
      </c>
      <c r="F72" s="300">
        <f t="shared" si="28"/>
        <v>0.23073086595906719</v>
      </c>
      <c r="G72" s="376">
        <v>2615.2600000000002</v>
      </c>
      <c r="H72" s="300">
        <f t="shared" si="24"/>
        <v>0.22608473141815813</v>
      </c>
      <c r="I72" s="376">
        <v>3402.37</v>
      </c>
      <c r="J72" s="300">
        <f t="shared" si="25"/>
        <v>0.30779202686419183</v>
      </c>
      <c r="K72" s="200">
        <v>2818.01</v>
      </c>
      <c r="L72" s="166">
        <f t="shared" si="29"/>
        <v>0.27152617790201006</v>
      </c>
      <c r="M72" s="394">
        <v>2915.9500000000003</v>
      </c>
    </row>
    <row r="73" spans="1:13">
      <c r="A73" s="154" t="s">
        <v>45</v>
      </c>
      <c r="B73" s="409">
        <v>918.78000000000009</v>
      </c>
      <c r="C73" s="300">
        <f t="shared" si="27"/>
        <v>7.6887736273005949E-2</v>
      </c>
      <c r="D73" s="376">
        <v>1007.1999999999999</v>
      </c>
      <c r="E73" s="409">
        <f>498.35+134.97+384.36</f>
        <v>1017.6800000000001</v>
      </c>
      <c r="F73" s="300">
        <f t="shared" si="28"/>
        <v>8.3070425547371984E-2</v>
      </c>
      <c r="G73" s="376">
        <f>520.23+74.61+392.8-0.01</f>
        <v>987.63000000000011</v>
      </c>
      <c r="H73" s="300">
        <f t="shared" si="24"/>
        <v>8.5378915782949122E-2</v>
      </c>
      <c r="I73" s="376">
        <f>458.57+78.42+413.26</f>
        <v>950.25</v>
      </c>
      <c r="J73" s="300">
        <f t="shared" si="25"/>
        <v>8.5963423592289576E-2</v>
      </c>
      <c r="K73" s="200">
        <v>862.51</v>
      </c>
      <c r="L73" s="166">
        <f t="shared" si="29"/>
        <v>8.3106179077527292E-2</v>
      </c>
      <c r="M73" s="394">
        <v>913</v>
      </c>
    </row>
    <row r="74" spans="1:13" s="2" customFormat="1">
      <c r="A74" s="152" t="s">
        <v>48</v>
      </c>
      <c r="B74" s="412">
        <f>B57+B62+B68</f>
        <v>11949.630000000001</v>
      </c>
      <c r="C74" s="301">
        <f t="shared" si="27"/>
        <v>1</v>
      </c>
      <c r="D74" s="377">
        <f>D57+D62+D68</f>
        <v>11804.01</v>
      </c>
      <c r="E74" s="412">
        <f>E57+E62+E68</f>
        <v>12250.81</v>
      </c>
      <c r="F74" s="301">
        <f t="shared" si="28"/>
        <v>1</v>
      </c>
      <c r="G74" s="377">
        <f>G57+G62+G68</f>
        <v>11567.61</v>
      </c>
      <c r="H74" s="301">
        <f t="shared" si="24"/>
        <v>1</v>
      </c>
      <c r="I74" s="378">
        <f>I57+I62+I68</f>
        <v>11054.119999999999</v>
      </c>
      <c r="J74" s="301">
        <f t="shared" si="25"/>
        <v>1</v>
      </c>
      <c r="K74" s="283">
        <f t="shared" ref="K74" si="34">K57+K62+K68</f>
        <v>10378.41</v>
      </c>
      <c r="L74" s="172">
        <f t="shared" si="29"/>
        <v>1</v>
      </c>
      <c r="M74" s="397">
        <f>M57+M62+M68</f>
        <v>10728.869999999999</v>
      </c>
    </row>
    <row r="75" spans="1:13">
      <c r="A75" s="154"/>
      <c r="B75" s="432"/>
      <c r="C75" s="433"/>
      <c r="D75" s="432"/>
      <c r="E75" s="320"/>
      <c r="F75" s="167"/>
      <c r="G75" s="320"/>
      <c r="H75" s="167"/>
      <c r="I75" s="320"/>
      <c r="J75" s="167"/>
      <c r="K75" s="320"/>
      <c r="L75" s="171"/>
      <c r="M75" s="398"/>
    </row>
    <row r="76" spans="1:13">
      <c r="A76" s="154" t="s">
        <v>49</v>
      </c>
      <c r="B76" s="321">
        <v>-946.4699999999998</v>
      </c>
      <c r="C76" s="201">
        <f>IF((+B76/D76)&lt;0,"n.m.",IF(B76&lt;0,(+B76/D76-1)*-1,(+B76/D76-1)))</f>
        <v>-2.93428108242923</v>
      </c>
      <c r="D76" s="321">
        <v>-240.57</v>
      </c>
      <c r="E76" s="321">
        <v>-1143.53</v>
      </c>
      <c r="F76" s="201">
        <f>IF((+E76/G76)&lt;0,"n.m.",IF(E76&lt;0,(+E76/G76-1)*-1,(+E76/G76-1)))</f>
        <v>6.1356995107856971E-2</v>
      </c>
      <c r="G76" s="321">
        <v>-1218.28</v>
      </c>
      <c r="H76" s="201">
        <f>IF((+G76/I76)&lt;0,"n.m.",IF(G76&lt;0,(+G76/I76-1)*-1,(+G76/I76-1)))</f>
        <v>8.7458053691275128E-2</v>
      </c>
      <c r="I76" s="321">
        <v>-1335.04</v>
      </c>
      <c r="J76" s="201">
        <f t="shared" ref="J76" si="35">IF((+I76/K76)&lt;0,"n.m.",IF(I76&lt;0,(+I76/K76-1)*-1,(+I76/K76-1)))</f>
        <v>-1.9729657506791964</v>
      </c>
      <c r="K76" s="321">
        <v>-449.06</v>
      </c>
      <c r="L76" s="201">
        <f>(K76/M76)-1</f>
        <v>-0.58970469994883423</v>
      </c>
      <c r="M76" s="394">
        <v>-1094.48</v>
      </c>
    </row>
    <row r="77" spans="1:13" s="14" customFormat="1">
      <c r="A77" s="168" t="s">
        <v>50</v>
      </c>
      <c r="B77" s="316">
        <f>B57/B74</f>
        <v>0.31749518604341725</v>
      </c>
      <c r="C77" s="192"/>
      <c r="D77" s="316">
        <f>D57/D74</f>
        <v>0.29926863836950324</v>
      </c>
      <c r="E77" s="316">
        <f>E57/E74</f>
        <v>0.31474653512706507</v>
      </c>
      <c r="F77" s="192"/>
      <c r="G77" s="316">
        <f>G57/G74</f>
        <v>0.31586213573936189</v>
      </c>
      <c r="H77" s="192"/>
      <c r="I77" s="316">
        <v>0.307</v>
      </c>
      <c r="J77" s="192"/>
      <c r="K77" s="316">
        <v>0.315</v>
      </c>
      <c r="L77" s="317"/>
      <c r="M77" s="399">
        <v>0.31</v>
      </c>
    </row>
    <row r="78" spans="1:13" s="14" customFormat="1">
      <c r="A78" s="168" t="s">
        <v>51</v>
      </c>
      <c r="B78" s="322">
        <v>-0.249</v>
      </c>
      <c r="C78" s="434"/>
      <c r="D78" s="322">
        <v>-6.8000000000000005E-2</v>
      </c>
      <c r="E78" s="322">
        <v>-0.29699999999999999</v>
      </c>
      <c r="F78" s="169"/>
      <c r="G78" s="322">
        <v>-0.33300000000000002</v>
      </c>
      <c r="H78" s="169"/>
      <c r="I78" s="322">
        <v>-0.39300000000000002</v>
      </c>
      <c r="J78" s="169"/>
      <c r="K78" s="322">
        <v>-0.13800000000000001</v>
      </c>
      <c r="L78" s="323"/>
      <c r="M78" s="400">
        <v>-0.33</v>
      </c>
    </row>
    <row r="79" spans="1:13" s="14" customFormat="1">
      <c r="A79" s="168" t="s">
        <v>52</v>
      </c>
      <c r="B79" s="316">
        <f>(B49-B68-B55+B70)/B4</f>
        <v>-0.14520050428595591</v>
      </c>
      <c r="C79" s="425"/>
      <c r="D79" s="316">
        <f>(D49-D68-D55+D70)/D4</f>
        <v>-6.6205096094465177E-2</v>
      </c>
      <c r="E79" s="316">
        <f>(E49-E68-E55+E70)/E4</f>
        <v>-7.3696578564604237E-2</v>
      </c>
      <c r="F79" s="192"/>
      <c r="G79" s="316">
        <f>(G49-G68-G55+G70)/G4</f>
        <v>-5.9525095271055456E-2</v>
      </c>
      <c r="H79" s="192"/>
      <c r="I79" s="316">
        <f>(I49-I68-I55+I70)/I4</f>
        <v>-6.8993213272612042E-2</v>
      </c>
      <c r="J79" s="192"/>
      <c r="K79" s="317">
        <f>(K49-K68-K55+K70)/K4</f>
        <v>-1.4274470463192508E-2</v>
      </c>
      <c r="L79" s="317"/>
      <c r="M79" s="399">
        <f>(M49-M68-M55+M70)/M4</f>
        <v>-6.785776333716359E-2</v>
      </c>
    </row>
    <row r="80" spans="1:13" s="14" customFormat="1">
      <c r="A80" s="168"/>
      <c r="B80" s="435"/>
      <c r="C80" s="436"/>
      <c r="D80" s="435"/>
      <c r="E80" s="191"/>
      <c r="F80" s="160"/>
      <c r="G80" s="191"/>
      <c r="H80" s="160"/>
      <c r="I80" s="321"/>
      <c r="J80" s="160"/>
      <c r="K80" s="160"/>
      <c r="L80" s="160"/>
      <c r="M80" s="398"/>
    </row>
    <row r="81" spans="1:13">
      <c r="A81" s="154" t="s">
        <v>53</v>
      </c>
      <c r="B81" s="338">
        <f>B20</f>
        <v>0.6299999999997361</v>
      </c>
      <c r="C81" s="201">
        <f t="shared" ref="C81:C89" si="36">IF((+B81/D81)&lt;0,"n.m.",IF(B81&lt;0,(+B81/D81-1)*-1,(+B81/D81-1)))</f>
        <v>-0.95480631276902861</v>
      </c>
      <c r="D81" s="338">
        <f>D20</f>
        <v>13.939999999999888</v>
      </c>
      <c r="E81" s="338">
        <f>E20</f>
        <v>378.55999999999921</v>
      </c>
      <c r="F81" s="201">
        <f t="shared" ref="F81:F89" si="37">IF((+E81/G81)&lt;0,"n.m.",IF(E81&lt;0,(+E81/G81-1)*-1,(+E81/G81-1)))</f>
        <v>4.3491683710873197E-2</v>
      </c>
      <c r="G81" s="338">
        <f>G20</f>
        <v>362.78200000000118</v>
      </c>
      <c r="H81" s="201">
        <f t="shared" ref="H81:H120" si="38">IF((+G81/I81)&lt;0,"n.m.",IF(G81&lt;0,(+G81/I81-1)*-1,(+G81/I81-1)))</f>
        <v>0.24087426460529326</v>
      </c>
      <c r="I81" s="338">
        <f>I20</f>
        <v>292.35999999999808</v>
      </c>
      <c r="J81" s="339">
        <f t="shared" ref="J81:J120" si="39">IF((+I81/K81)&lt;0,"n.m.",IF(I81&lt;0,(+I81/K81-1)*-1,(+I81/K81-1)))</f>
        <v>3.6737588652482112E-2</v>
      </c>
      <c r="K81" s="338">
        <f>K20</f>
        <v>281.99999999999818</v>
      </c>
      <c r="L81" s="287">
        <f t="shared" ref="L81:L89" si="40">IF((+K81/M81)&lt;0,"n.m.",IF(K81&lt;0,(+K81/M81-1)*-1,(+K81/M81-1)))</f>
        <v>0.54529015288509886</v>
      </c>
      <c r="M81" s="394">
        <f>M20</f>
        <v>182.48999999999774</v>
      </c>
    </row>
    <row r="82" spans="1:13">
      <c r="A82" s="154" t="s">
        <v>33</v>
      </c>
      <c r="B82" s="381">
        <v>14.48</v>
      </c>
      <c r="C82" s="201">
        <f t="shared" si="36"/>
        <v>2.161572052401747</v>
      </c>
      <c r="D82" s="381">
        <v>4.58</v>
      </c>
      <c r="E82" s="381">
        <v>32.9</v>
      </c>
      <c r="F82" s="201">
        <f t="shared" si="37"/>
        <v>-0.37151371590127613</v>
      </c>
      <c r="G82" s="381">
        <v>52.347999999999999</v>
      </c>
      <c r="H82" s="201">
        <f t="shared" si="38"/>
        <v>-0.10912185159972765</v>
      </c>
      <c r="I82" s="311">
        <v>58.76</v>
      </c>
      <c r="J82" s="201">
        <f t="shared" si="39"/>
        <v>2.7618437900128043</v>
      </c>
      <c r="K82" s="311">
        <v>15.62</v>
      </c>
      <c r="L82" s="202" t="str">
        <f t="shared" si="40"/>
        <v>n.m.</v>
      </c>
      <c r="M82" s="401">
        <v>-36.83</v>
      </c>
    </row>
    <row r="83" spans="1:13" ht="22.5">
      <c r="A83" s="154" t="s">
        <v>142</v>
      </c>
      <c r="B83" s="311">
        <v>-0.26</v>
      </c>
      <c r="C83" s="201">
        <f t="shared" si="36"/>
        <v>0.97058823529411764</v>
      </c>
      <c r="D83" s="311">
        <v>-8.84</v>
      </c>
      <c r="E83" s="311">
        <v>-14.44</v>
      </c>
      <c r="F83" s="201">
        <f t="shared" si="37"/>
        <v>-0.1839947523778287</v>
      </c>
      <c r="G83" s="311">
        <v>-12.196</v>
      </c>
      <c r="H83" s="201">
        <f t="shared" si="38"/>
        <v>0.76945179584120982</v>
      </c>
      <c r="I83" s="311">
        <v>-52.9</v>
      </c>
      <c r="J83" s="201"/>
      <c r="K83" s="311">
        <v>0</v>
      </c>
      <c r="L83" s="202"/>
      <c r="M83" s="401">
        <v>0</v>
      </c>
    </row>
    <row r="84" spans="1:13" s="15" customFormat="1" ht="22.5">
      <c r="A84" s="154" t="s">
        <v>54</v>
      </c>
      <c r="B84" s="311">
        <v>0.08</v>
      </c>
      <c r="C84" s="201" t="str">
        <f t="shared" si="36"/>
        <v>n.m.</v>
      </c>
      <c r="D84" s="311">
        <v>-14.6</v>
      </c>
      <c r="E84" s="311">
        <v>-18.989999999999998</v>
      </c>
      <c r="F84" s="201">
        <f t="shared" si="37"/>
        <v>-14.944584382871534</v>
      </c>
      <c r="G84" s="311">
        <v>-1.1910000000000001</v>
      </c>
      <c r="H84" s="201" t="str">
        <f t="shared" si="38"/>
        <v>n.m.</v>
      </c>
      <c r="I84" s="311">
        <v>3.72</v>
      </c>
      <c r="J84" s="201" t="str">
        <f t="shared" si="39"/>
        <v>n.m.</v>
      </c>
      <c r="K84" s="311">
        <v>-3.54</v>
      </c>
      <c r="L84" s="202">
        <f t="shared" si="40"/>
        <v>0.28484848484848491</v>
      </c>
      <c r="M84" s="401">
        <v>-4.95</v>
      </c>
    </row>
    <row r="85" spans="1:13" ht="33.75">
      <c r="A85" s="154" t="s">
        <v>143</v>
      </c>
      <c r="B85" s="311">
        <v>5.92</v>
      </c>
      <c r="C85" s="201" t="str">
        <f t="shared" si="36"/>
        <v>n.m.</v>
      </c>
      <c r="D85" s="311">
        <v>-0.32</v>
      </c>
      <c r="E85" s="311">
        <v>-16.43</v>
      </c>
      <c r="F85" s="201">
        <f t="shared" si="37"/>
        <v>0.72070173052731779</v>
      </c>
      <c r="G85" s="311">
        <v>-58.826000000000001</v>
      </c>
      <c r="H85" s="201" t="str">
        <f t="shared" si="38"/>
        <v>n.m.</v>
      </c>
      <c r="I85" s="311">
        <v>1.39</v>
      </c>
      <c r="J85" s="201">
        <f t="shared" si="39"/>
        <v>-0.95932104184957567</v>
      </c>
      <c r="K85" s="311">
        <v>34.17</v>
      </c>
      <c r="L85" s="202">
        <f t="shared" si="40"/>
        <v>5.1061211934789519E-2</v>
      </c>
      <c r="M85" s="401">
        <v>32.51</v>
      </c>
    </row>
    <row r="86" spans="1:13">
      <c r="A86" s="154" t="s">
        <v>55</v>
      </c>
      <c r="B86" s="382">
        <v>256.98</v>
      </c>
      <c r="C86" s="201">
        <f t="shared" si="36"/>
        <v>7.649128686327078E-2</v>
      </c>
      <c r="D86" s="382">
        <v>238.72</v>
      </c>
      <c r="E86" s="382">
        <v>515.83000000000004</v>
      </c>
      <c r="F86" s="201">
        <f t="shared" si="37"/>
        <v>0.26942291128337637</v>
      </c>
      <c r="G86" s="382">
        <v>406.35</v>
      </c>
      <c r="H86" s="201">
        <f t="shared" si="38"/>
        <v>3.9391226499552401E-2</v>
      </c>
      <c r="I86" s="311">
        <v>390.95</v>
      </c>
      <c r="J86" s="201">
        <f t="shared" si="39"/>
        <v>-0.10268769078932272</v>
      </c>
      <c r="K86" s="311">
        <v>435.69</v>
      </c>
      <c r="L86" s="202">
        <f t="shared" si="40"/>
        <v>-0.13736709763003152</v>
      </c>
      <c r="M86" s="401">
        <v>505.07</v>
      </c>
    </row>
    <row r="87" spans="1:13" ht="22.5">
      <c r="A87" s="154" t="s">
        <v>56</v>
      </c>
      <c r="B87" s="382">
        <v>-16.63</v>
      </c>
      <c r="C87" s="201" t="str">
        <f t="shared" si="36"/>
        <v>n.m.</v>
      </c>
      <c r="D87" s="382">
        <v>28.6</v>
      </c>
      <c r="E87" s="382">
        <v>24.17</v>
      </c>
      <c r="F87" s="201" t="str">
        <f t="shared" si="37"/>
        <v>n.m.</v>
      </c>
      <c r="G87" s="382">
        <v>-34.122</v>
      </c>
      <c r="H87" s="201">
        <f t="shared" si="38"/>
        <v>-0.352973830293418</v>
      </c>
      <c r="I87" s="311">
        <v>-25.22</v>
      </c>
      <c r="J87" s="201">
        <f t="shared" si="39"/>
        <v>-0.95503875968992236</v>
      </c>
      <c r="K87" s="311">
        <v>-12.9</v>
      </c>
      <c r="L87" s="202" t="str">
        <f t="shared" si="40"/>
        <v>n.m.</v>
      </c>
      <c r="M87" s="401">
        <v>12.1</v>
      </c>
    </row>
    <row r="88" spans="1:13" ht="22.5">
      <c r="A88" s="154" t="s">
        <v>57</v>
      </c>
      <c r="B88" s="382">
        <v>-21.79</v>
      </c>
      <c r="C88" s="201">
        <f t="shared" si="36"/>
        <v>0.33567073170731709</v>
      </c>
      <c r="D88" s="382">
        <v>-32.799999999999997</v>
      </c>
      <c r="E88" s="382">
        <v>-50.55</v>
      </c>
      <c r="F88" s="201">
        <f t="shared" si="37"/>
        <v>0.16809294977289191</v>
      </c>
      <c r="G88" s="382">
        <v>-60.764000000000003</v>
      </c>
      <c r="H88" s="201">
        <f t="shared" si="38"/>
        <v>-0.72380141843971635</v>
      </c>
      <c r="I88" s="311">
        <v>-35.25</v>
      </c>
      <c r="J88" s="201">
        <f t="shared" si="39"/>
        <v>0.41898796769408275</v>
      </c>
      <c r="K88" s="311">
        <v>-60.67</v>
      </c>
      <c r="L88" s="202">
        <f t="shared" si="40"/>
        <v>-0.87195310089478584</v>
      </c>
      <c r="M88" s="401">
        <v>-32.409999999999997</v>
      </c>
    </row>
    <row r="89" spans="1:13" s="2" customFormat="1">
      <c r="A89" s="152" t="s">
        <v>58</v>
      </c>
      <c r="B89" s="324">
        <f>SUM(B81:B88)</f>
        <v>239.40999999999977</v>
      </c>
      <c r="C89" s="153">
        <f t="shared" si="36"/>
        <v>4.4181786461967576E-2</v>
      </c>
      <c r="D89" s="324">
        <f>SUM(D81:D88)</f>
        <v>229.27999999999986</v>
      </c>
      <c r="E89" s="324">
        <f>SUM(E81:E88)</f>
        <v>851.04999999999916</v>
      </c>
      <c r="F89" s="153">
        <f t="shared" si="37"/>
        <v>0.30054203896506393</v>
      </c>
      <c r="G89" s="324">
        <f>SUM(G81:G88)</f>
        <v>654.38100000000122</v>
      </c>
      <c r="H89" s="153">
        <f t="shared" si="38"/>
        <v>3.245609883088485E-2</v>
      </c>
      <c r="I89" s="324">
        <f>SUM(I81:I88)</f>
        <v>633.80999999999813</v>
      </c>
      <c r="J89" s="153">
        <f t="shared" si="39"/>
        <v>-8.1927082578907462E-2</v>
      </c>
      <c r="K89" s="325">
        <f t="shared" ref="K89" si="41">SUM(K81:K88)</f>
        <v>690.3699999999983</v>
      </c>
      <c r="L89" s="203">
        <f t="shared" si="40"/>
        <v>4.9226420255935821E-2</v>
      </c>
      <c r="M89" s="402">
        <f>SUM(M81:M88)</f>
        <v>657.97999999999774</v>
      </c>
    </row>
    <row r="90" spans="1:13" s="2" customFormat="1">
      <c r="A90" s="152" t="s">
        <v>59</v>
      </c>
      <c r="B90" s="437"/>
      <c r="C90" s="201"/>
      <c r="D90" s="437"/>
      <c r="E90" s="326"/>
      <c r="F90" s="201"/>
      <c r="G90" s="326"/>
      <c r="H90" s="201"/>
      <c r="I90" s="326"/>
      <c r="J90" s="201"/>
      <c r="K90" s="315"/>
      <c r="L90" s="202"/>
      <c r="M90" s="403"/>
    </row>
    <row r="91" spans="1:13">
      <c r="A91" s="154" t="s">
        <v>60</v>
      </c>
      <c r="B91" s="383">
        <v>-71.680000000000007</v>
      </c>
      <c r="C91" s="201">
        <f t="shared" ref="C91:C92" si="42">IF((+B91/D91)&lt;0,"n.m.",IF(B91&lt;0,(+B91/D91-1)*-1,(+B91/D91-1)))</f>
        <v>-0.73014723630219658</v>
      </c>
      <c r="D91" s="383">
        <v>-41.43</v>
      </c>
      <c r="E91" s="383">
        <v>-24.19</v>
      </c>
      <c r="F91" s="201">
        <f t="shared" ref="F91:F120" si="43">IF((+E91/G91)&lt;0,"n.m.",IF(E91&lt;0,(+E91/G91-1)*-1,(+E91/G91-1)))</f>
        <v>0.76609940050280412</v>
      </c>
      <c r="G91" s="383">
        <v>-103.42</v>
      </c>
      <c r="H91" s="201" t="str">
        <f t="shared" si="38"/>
        <v>n.m.</v>
      </c>
      <c r="I91" s="321">
        <v>47.75</v>
      </c>
      <c r="J91" s="201" t="str">
        <f t="shared" si="39"/>
        <v>n.m.</v>
      </c>
      <c r="K91" s="321">
        <v>-99.7</v>
      </c>
      <c r="L91" s="202" t="str">
        <f t="shared" ref="L91:L110" si="44">IF((+K91/M91)&lt;0,"n.m.",IF(K91&lt;0,(+K91/M91-1)*-1,(+K91/M91-1)))</f>
        <v>n.m.</v>
      </c>
      <c r="M91" s="394">
        <v>9.48</v>
      </c>
    </row>
    <row r="92" spans="1:13" ht="33.75">
      <c r="A92" s="154" t="s">
        <v>61</v>
      </c>
      <c r="B92" s="383">
        <v>-249.29</v>
      </c>
      <c r="C92" s="201">
        <f t="shared" si="42"/>
        <v>0.47281493856662515</v>
      </c>
      <c r="D92" s="383">
        <v>-472.87</v>
      </c>
      <c r="E92" s="383">
        <v>-85.76</v>
      </c>
      <c r="F92" s="201">
        <f t="shared" si="43"/>
        <v>-0.48553611640394956</v>
      </c>
      <c r="G92" s="383">
        <v>-57.73</v>
      </c>
      <c r="H92" s="201">
        <f t="shared" si="38"/>
        <v>-0.18493431855500808</v>
      </c>
      <c r="I92" s="321">
        <v>-48.72</v>
      </c>
      <c r="J92" s="201">
        <f t="shared" si="39"/>
        <v>-15.571428571428573</v>
      </c>
      <c r="K92" s="311">
        <v>-2.94</v>
      </c>
      <c r="L92" s="202" t="str">
        <f t="shared" si="44"/>
        <v>n.m.</v>
      </c>
      <c r="M92" s="401">
        <v>192.81</v>
      </c>
    </row>
    <row r="93" spans="1:13" ht="33.75">
      <c r="A93" s="154" t="s">
        <v>62</v>
      </c>
      <c r="B93" s="383">
        <v>0</v>
      </c>
      <c r="C93" s="201"/>
      <c r="D93" s="383">
        <v>0</v>
      </c>
      <c r="E93" s="383">
        <v>0</v>
      </c>
      <c r="F93" s="201"/>
      <c r="G93" s="383">
        <v>0</v>
      </c>
      <c r="H93" s="201">
        <f t="shared" si="38"/>
        <v>-1</v>
      </c>
      <c r="I93" s="321">
        <v>24.7</v>
      </c>
      <c r="J93" s="201">
        <f t="shared" si="39"/>
        <v>4.9951456310679605</v>
      </c>
      <c r="K93" s="311">
        <v>4.12</v>
      </c>
      <c r="L93" s="202" t="str">
        <f t="shared" si="44"/>
        <v>n.m.</v>
      </c>
      <c r="M93" s="401">
        <v>-21.64</v>
      </c>
    </row>
    <row r="94" spans="1:13">
      <c r="A94" s="154" t="s">
        <v>63</v>
      </c>
      <c r="B94" s="383">
        <v>25.88</v>
      </c>
      <c r="C94" s="413" t="str">
        <f t="shared" ref="C94:C95" si="45">IF((+B94/D94)&lt;0,"n.m.",IF(B94&lt;0,(+B94/D94-1)*-1,(+B94/D94-1)))</f>
        <v>n.m.</v>
      </c>
      <c r="D94" s="383">
        <f>-27.53+27.12</f>
        <v>-0.41000000000000014</v>
      </c>
      <c r="E94" s="383">
        <f>-1.73-3.8+14.95</f>
        <v>9.42</v>
      </c>
      <c r="F94" s="201">
        <f t="shared" si="43"/>
        <v>-0.38551859099804309</v>
      </c>
      <c r="G94" s="383">
        <f>-4.71+22.78-2.74</f>
        <v>15.33</v>
      </c>
      <c r="H94" s="201">
        <f t="shared" si="38"/>
        <v>-0.83772626230549374</v>
      </c>
      <c r="I94" s="321">
        <v>94.47</v>
      </c>
      <c r="J94" s="201" t="str">
        <f t="shared" si="39"/>
        <v>n.m.</v>
      </c>
      <c r="K94" s="311">
        <v>-75.2</v>
      </c>
      <c r="L94" s="202">
        <f t="shared" si="44"/>
        <v>-4.2477320307048156</v>
      </c>
      <c r="M94" s="312">
        <v>-14.33</v>
      </c>
    </row>
    <row r="95" spans="1:13" ht="23.25" customHeight="1">
      <c r="A95" s="154" t="s">
        <v>64</v>
      </c>
      <c r="B95" s="383">
        <v>185.15</v>
      </c>
      <c r="C95" s="413">
        <f t="shared" si="45"/>
        <v>2.9946062567421792</v>
      </c>
      <c r="D95" s="383">
        <v>46.35</v>
      </c>
      <c r="E95" s="383">
        <v>197.23</v>
      </c>
      <c r="F95" s="201">
        <f t="shared" si="43"/>
        <v>1.15915269015745E-2</v>
      </c>
      <c r="G95" s="383">
        <v>194.97</v>
      </c>
      <c r="H95" s="201">
        <f t="shared" si="38"/>
        <v>-0.65924463009245504</v>
      </c>
      <c r="I95" s="321">
        <v>572.16999999999996</v>
      </c>
      <c r="J95" s="201" t="str">
        <f t="shared" si="39"/>
        <v>n.m.</v>
      </c>
      <c r="K95" s="311">
        <v>-187.84</v>
      </c>
      <c r="L95" s="202" t="str">
        <f t="shared" si="44"/>
        <v>n.m.</v>
      </c>
      <c r="M95" s="312">
        <v>206.53</v>
      </c>
    </row>
    <row r="96" spans="1:13" ht="33.75">
      <c r="A96" s="154" t="s">
        <v>65</v>
      </c>
      <c r="B96" s="438"/>
      <c r="C96" s="413"/>
      <c r="D96" s="383"/>
      <c r="E96" s="383"/>
      <c r="F96" s="413"/>
      <c r="G96" s="383"/>
      <c r="H96" s="201">
        <f t="shared" si="38"/>
        <v>-1</v>
      </c>
      <c r="I96" s="321">
        <v>-4.55</v>
      </c>
      <c r="J96" s="201">
        <f t="shared" si="39"/>
        <v>-0.25344352617079879</v>
      </c>
      <c r="K96" s="311">
        <v>-3.63</v>
      </c>
      <c r="L96" s="202" t="str">
        <f t="shared" si="44"/>
        <v>n.m.</v>
      </c>
      <c r="M96" s="312">
        <v>14.93</v>
      </c>
    </row>
    <row r="97" spans="1:13">
      <c r="A97" s="154" t="s">
        <v>66</v>
      </c>
      <c r="B97" s="383">
        <v>-80.41</v>
      </c>
      <c r="C97" s="413">
        <f t="shared" ref="C97:C107" si="46">IF((+B97/D97)&lt;0,"n.m.",IF(B97&lt;0,(+B97/D97-1)*-1,(+B97/D97-1)))</f>
        <v>0.18249288328588864</v>
      </c>
      <c r="D97" s="383">
        <f>-93.94-4.42</f>
        <v>-98.36</v>
      </c>
      <c r="E97" s="383">
        <f>-18.52+60.63-22.15</f>
        <v>19.96</v>
      </c>
      <c r="F97" s="413">
        <f t="shared" si="43"/>
        <v>-0.81844642532290335</v>
      </c>
      <c r="G97" s="383">
        <f>46.36-3.9+67.48</f>
        <v>109.94</v>
      </c>
      <c r="H97" s="201">
        <f t="shared" si="38"/>
        <v>3.8389084507042259</v>
      </c>
      <c r="I97" s="321">
        <v>22.72</v>
      </c>
      <c r="J97" s="201" t="str">
        <f t="shared" si="39"/>
        <v>n.m.</v>
      </c>
      <c r="K97" s="311">
        <v>-94.91</v>
      </c>
      <c r="L97" s="202" t="str">
        <f t="shared" si="44"/>
        <v>n.m.</v>
      </c>
      <c r="M97" s="312">
        <v>95.56</v>
      </c>
    </row>
    <row r="98" spans="1:13">
      <c r="A98" s="154" t="s">
        <v>67</v>
      </c>
      <c r="B98" s="383">
        <v>-16.22</v>
      </c>
      <c r="C98" s="413" t="str">
        <f t="shared" si="46"/>
        <v>n.m.</v>
      </c>
      <c r="D98" s="383">
        <v>16.78</v>
      </c>
      <c r="E98" s="383">
        <v>108.23</v>
      </c>
      <c r="F98" s="201" t="str">
        <f t="shared" si="43"/>
        <v>n.m.</v>
      </c>
      <c r="G98" s="383">
        <v>-24.494</v>
      </c>
      <c r="H98" s="201" t="str">
        <f t="shared" si="38"/>
        <v>n.m.</v>
      </c>
      <c r="I98" s="321">
        <v>2.84</v>
      </c>
      <c r="J98" s="201">
        <f t="shared" si="39"/>
        <v>-0.91622418879056045</v>
      </c>
      <c r="K98" s="311">
        <v>33.9</v>
      </c>
      <c r="L98" s="202">
        <f t="shared" si="44"/>
        <v>-0.65767949106331414</v>
      </c>
      <c r="M98" s="312">
        <v>99.03</v>
      </c>
    </row>
    <row r="99" spans="1:13" s="2" customFormat="1" ht="22.5">
      <c r="A99" s="152" t="s">
        <v>68</v>
      </c>
      <c r="B99" s="387">
        <f>SUM(B89:B98)</f>
        <v>32.839999999999776</v>
      </c>
      <c r="C99" s="153" t="str">
        <f t="shared" si="46"/>
        <v>n.m.</v>
      </c>
      <c r="D99" s="387">
        <f>SUM(D89:D98)</f>
        <v>-320.6600000000002</v>
      </c>
      <c r="E99" s="387">
        <f>SUM(E89:E98)</f>
        <v>1075.9399999999991</v>
      </c>
      <c r="F99" s="153">
        <f t="shared" si="43"/>
        <v>0.3637152920807547</v>
      </c>
      <c r="G99" s="387">
        <f>SUM(G89:G98)</f>
        <v>788.97700000000111</v>
      </c>
      <c r="H99" s="153">
        <f t="shared" si="38"/>
        <v>-0.41348285372326421</v>
      </c>
      <c r="I99" s="324">
        <f>SUM(I89:I98)</f>
        <v>1345.189999999998</v>
      </c>
      <c r="J99" s="153">
        <f>IF((+I99/K99)&lt;0,"n.m.",IF(I99&lt;0,(+I99/K99-1)*-1,(+I99/K99-1)))</f>
        <v>4.0921376386418116</v>
      </c>
      <c r="K99" s="325">
        <f>SUM(K89:K98)</f>
        <v>264.16999999999814</v>
      </c>
      <c r="L99" s="203">
        <f t="shared" si="44"/>
        <v>-0.78701979280042034</v>
      </c>
      <c r="M99" s="325">
        <f>SUM(M89:M98)</f>
        <v>1240.3499999999976</v>
      </c>
    </row>
    <row r="100" spans="1:13">
      <c r="A100" s="154" t="s">
        <v>69</v>
      </c>
      <c r="B100" s="383">
        <v>-14.9</v>
      </c>
      <c r="C100" s="201">
        <f t="shared" si="46"/>
        <v>8.5889570552147299E-2</v>
      </c>
      <c r="D100" s="383">
        <v>-16.3</v>
      </c>
      <c r="E100" s="383">
        <v>-31.38</v>
      </c>
      <c r="F100" s="201">
        <f t="shared" si="43"/>
        <v>-0.13893728222996504</v>
      </c>
      <c r="G100" s="383">
        <v>-27.552</v>
      </c>
      <c r="H100" s="201">
        <f t="shared" si="38"/>
        <v>0.43039073806078143</v>
      </c>
      <c r="I100" s="321">
        <v>-48.37</v>
      </c>
      <c r="J100" s="201">
        <f t="shared" si="39"/>
        <v>-0.23930310017934908</v>
      </c>
      <c r="K100" s="311">
        <v>-39.03</v>
      </c>
      <c r="L100" s="202">
        <f t="shared" si="44"/>
        <v>-0.67582653499355949</v>
      </c>
      <c r="M100" s="312">
        <v>-23.29</v>
      </c>
    </row>
    <row r="101" spans="1:13" ht="33.75">
      <c r="A101" s="154" t="s">
        <v>70</v>
      </c>
      <c r="B101" s="383">
        <v>-223.86</v>
      </c>
      <c r="C101" s="201">
        <f t="shared" si="46"/>
        <v>0.28502076014053024</v>
      </c>
      <c r="D101" s="383">
        <v>-313.10000000000002</v>
      </c>
      <c r="E101" s="383">
        <v>-647.44000000000005</v>
      </c>
      <c r="F101" s="201">
        <f t="shared" si="43"/>
        <v>-3.801621115431697E-3</v>
      </c>
      <c r="G101" s="383">
        <v>-644.98800000000006</v>
      </c>
      <c r="H101" s="201">
        <f t="shared" si="38"/>
        <v>-0.4094401468467288</v>
      </c>
      <c r="I101" s="321">
        <v>-457.62</v>
      </c>
      <c r="J101" s="201">
        <f t="shared" si="39"/>
        <v>-0.10948940503321536</v>
      </c>
      <c r="K101" s="311">
        <v>-412.46</v>
      </c>
      <c r="L101" s="202">
        <f t="shared" si="44"/>
        <v>-4.2223626026531846E-2</v>
      </c>
      <c r="M101" s="312">
        <v>-395.75</v>
      </c>
    </row>
    <row r="102" spans="1:13">
      <c r="A102" s="154" t="s">
        <v>133</v>
      </c>
      <c r="B102" s="383">
        <v>48.84</v>
      </c>
      <c r="C102" s="201">
        <f t="shared" si="46"/>
        <v>-0.11103021477975961</v>
      </c>
      <c r="D102" s="383">
        <v>54.94</v>
      </c>
      <c r="E102" s="383">
        <v>105.47</v>
      </c>
      <c r="F102" s="201">
        <f t="shared" si="43"/>
        <v>-9.1191093724419026E-2</v>
      </c>
      <c r="G102" s="383">
        <v>116.053</v>
      </c>
      <c r="H102" s="201">
        <f t="shared" si="38"/>
        <v>-3.8898550724637659E-2</v>
      </c>
      <c r="I102" s="321">
        <v>120.75</v>
      </c>
      <c r="J102" s="201">
        <f t="shared" si="39"/>
        <v>-0.36175273534541996</v>
      </c>
      <c r="K102" s="284">
        <v>189.19</v>
      </c>
      <c r="L102" s="202">
        <v>0.94260190984700687</v>
      </c>
      <c r="M102" s="284">
        <v>97.39</v>
      </c>
    </row>
    <row r="103" spans="1:13" ht="22.5">
      <c r="A103" s="154" t="s">
        <v>71</v>
      </c>
      <c r="B103" s="383">
        <v>16.11</v>
      </c>
      <c r="C103" s="201" t="str">
        <f t="shared" si="46"/>
        <v>n.m.</v>
      </c>
      <c r="D103" s="383">
        <v>-14.8</v>
      </c>
      <c r="E103" s="383">
        <v>-11.23</v>
      </c>
      <c r="F103" s="201">
        <f t="shared" si="43"/>
        <v>0.1967095851216023</v>
      </c>
      <c r="G103" s="383">
        <v>-13.98</v>
      </c>
      <c r="H103" s="201" t="str">
        <f t="shared" si="38"/>
        <v>n.m.</v>
      </c>
      <c r="I103" s="321">
        <v>47.51</v>
      </c>
      <c r="J103" s="201" t="str">
        <f t="shared" si="39"/>
        <v>n.m.</v>
      </c>
      <c r="K103" s="311">
        <v>-14.13</v>
      </c>
      <c r="L103" s="202" t="str">
        <f t="shared" si="44"/>
        <v>n.m.</v>
      </c>
      <c r="M103" s="312">
        <v>7.54</v>
      </c>
    </row>
    <row r="104" spans="1:13" ht="22.5">
      <c r="A104" s="154" t="s">
        <v>72</v>
      </c>
      <c r="B104" s="383">
        <v>-6.35</v>
      </c>
      <c r="C104" s="201">
        <f t="shared" si="46"/>
        <v>0.31939978563772775</v>
      </c>
      <c r="D104" s="383">
        <v>-9.33</v>
      </c>
      <c r="E104" s="383">
        <v>-8.7200000000000006</v>
      </c>
      <c r="F104" s="201">
        <f t="shared" si="43"/>
        <v>0.87589485219816976</v>
      </c>
      <c r="G104" s="383">
        <v>-70.263000000000005</v>
      </c>
      <c r="H104" s="201" t="str">
        <f t="shared" si="38"/>
        <v>n.m.</v>
      </c>
      <c r="I104" s="321">
        <v>4.43</v>
      </c>
      <c r="J104" s="201" t="str">
        <f t="shared" si="39"/>
        <v>n.m.</v>
      </c>
      <c r="K104" s="311">
        <v>-158</v>
      </c>
      <c r="L104" s="202">
        <f t="shared" si="44"/>
        <v>-24.901639344262296</v>
      </c>
      <c r="M104" s="286">
        <v>-6.1</v>
      </c>
    </row>
    <row r="105" spans="1:13" s="2" customFormat="1" ht="22.5">
      <c r="A105" s="152" t="s">
        <v>73</v>
      </c>
      <c r="B105" s="324">
        <f>SUM(B100:B104)</f>
        <v>-180.16</v>
      </c>
      <c r="C105" s="153">
        <f t="shared" si="46"/>
        <v>0.39663083157506962</v>
      </c>
      <c r="D105" s="324">
        <f>SUM(D100:D104)</f>
        <v>-298.59000000000003</v>
      </c>
      <c r="E105" s="324">
        <f>SUM(E100:E104)</f>
        <v>-593.30000000000007</v>
      </c>
      <c r="F105" s="153">
        <f t="shared" si="43"/>
        <v>7.4024940302467535E-2</v>
      </c>
      <c r="G105" s="324">
        <f>SUM(G100:G104)</f>
        <v>-640.73000000000013</v>
      </c>
      <c r="H105" s="153">
        <f t="shared" si="38"/>
        <v>-0.9223822382238227</v>
      </c>
      <c r="I105" s="324">
        <f>SUM(I100:I104)</f>
        <v>-333.3</v>
      </c>
      <c r="J105" s="153">
        <f t="shared" si="39"/>
        <v>0.23278779089841861</v>
      </c>
      <c r="K105" s="325">
        <f>SUM(K100:K104)</f>
        <v>-434.43</v>
      </c>
      <c r="L105" s="289">
        <f t="shared" si="44"/>
        <v>-0.35670341338496603</v>
      </c>
      <c r="M105" s="196">
        <f>SUM(M100:M104)</f>
        <v>-320.21000000000004</v>
      </c>
    </row>
    <row r="106" spans="1:13" ht="22.5">
      <c r="A106" s="154" t="s">
        <v>144</v>
      </c>
      <c r="B106" s="321">
        <v>-27.86</v>
      </c>
      <c r="C106" s="201">
        <f t="shared" si="46"/>
        <v>9.7797927461140022E-2</v>
      </c>
      <c r="D106" s="321">
        <v>-30.880000000000003</v>
      </c>
      <c r="E106" s="321">
        <f>16.65-135.25</f>
        <v>-118.6</v>
      </c>
      <c r="F106" s="201">
        <f t="shared" si="43"/>
        <v>0.21521399645324368</v>
      </c>
      <c r="G106" s="321">
        <f>33.465-184.589</f>
        <v>-151.124</v>
      </c>
      <c r="H106" s="201">
        <f t="shared" si="38"/>
        <v>-28.866403162055338</v>
      </c>
      <c r="I106" s="321">
        <v>-5.0599999999999996</v>
      </c>
      <c r="J106" s="201">
        <f t="shared" si="39"/>
        <v>0.98320777884711119</v>
      </c>
      <c r="K106" s="311">
        <v>-301.33000000000004</v>
      </c>
      <c r="L106" s="287">
        <f t="shared" si="44"/>
        <v>-1.3175665282264268</v>
      </c>
      <c r="M106" s="288">
        <v>-130.02000000000001</v>
      </c>
    </row>
    <row r="107" spans="1:13" ht="22.5">
      <c r="A107" s="351" t="s">
        <v>150</v>
      </c>
      <c r="B107" s="311">
        <v>-200</v>
      </c>
      <c r="C107" s="201">
        <f t="shared" si="46"/>
        <v>-0.68776371308016881</v>
      </c>
      <c r="D107" s="311">
        <v>-118.5</v>
      </c>
      <c r="E107" s="311">
        <f>-100-18.5</f>
        <v>-118.5</v>
      </c>
      <c r="F107" s="201">
        <f t="shared" si="43"/>
        <v>0.32285714285714284</v>
      </c>
      <c r="G107" s="311">
        <v>-175</v>
      </c>
      <c r="H107" s="201">
        <f t="shared" si="38"/>
        <v>-0.44032921810699599</v>
      </c>
      <c r="I107" s="311">
        <v>-121.5</v>
      </c>
      <c r="J107" s="201"/>
      <c r="K107" s="311">
        <v>0</v>
      </c>
      <c r="L107" s="202">
        <f t="shared" si="44"/>
        <v>-1</v>
      </c>
      <c r="M107" s="312">
        <v>100</v>
      </c>
    </row>
    <row r="108" spans="1:13">
      <c r="A108" s="351" t="s">
        <v>157</v>
      </c>
      <c r="B108" s="311">
        <v>-28.14</v>
      </c>
      <c r="C108" s="201"/>
      <c r="D108" s="311">
        <v>-25.98</v>
      </c>
      <c r="E108" s="311">
        <v>-56.43</v>
      </c>
      <c r="F108" s="201"/>
      <c r="G108" s="381">
        <v>0</v>
      </c>
      <c r="H108" s="201">
        <f t="shared" si="38"/>
        <v>-1</v>
      </c>
      <c r="I108" s="311">
        <v>-5.31</v>
      </c>
      <c r="J108" s="201">
        <f t="shared" si="39"/>
        <v>-5.5666003976142964E-2</v>
      </c>
      <c r="K108" s="311">
        <v>-5.03</v>
      </c>
      <c r="L108" s="202">
        <f t="shared" si="44"/>
        <v>-5.0602409638554224</v>
      </c>
      <c r="M108" s="312">
        <v>-0.83</v>
      </c>
    </row>
    <row r="109" spans="1:13" ht="22.5">
      <c r="A109" s="154" t="s">
        <v>145</v>
      </c>
      <c r="B109" s="383">
        <v>-0.64</v>
      </c>
      <c r="C109" s="201">
        <f t="shared" ref="C109:C120" si="47">IF((+B109/D109)&lt;0,"n.m.",IF(B109&lt;0,(+B109/D109-1)*-1,(+B109/D109-1)))</f>
        <v>0.78595317725752512</v>
      </c>
      <c r="D109" s="383">
        <v>-2.99</v>
      </c>
      <c r="E109" s="383">
        <v>-4.49</v>
      </c>
      <c r="F109" s="201">
        <f t="shared" si="43"/>
        <v>0.77626071357384896</v>
      </c>
      <c r="G109" s="383">
        <v>-20.068000000000001</v>
      </c>
      <c r="H109" s="201" t="str">
        <f t="shared" si="38"/>
        <v>n.m.</v>
      </c>
      <c r="I109" s="321">
        <v>0.74</v>
      </c>
      <c r="J109" s="201">
        <f t="shared" si="39"/>
        <v>-0.95680093403385869</v>
      </c>
      <c r="K109" s="311">
        <v>17.13</v>
      </c>
      <c r="L109" s="202" t="str">
        <f t="shared" si="44"/>
        <v>n.m.</v>
      </c>
      <c r="M109" s="312">
        <v>-29.92</v>
      </c>
    </row>
    <row r="110" spans="1:13" ht="22.5">
      <c r="A110" s="154" t="s">
        <v>74</v>
      </c>
      <c r="B110" s="383">
        <v>0</v>
      </c>
      <c r="C110" s="201">
        <f t="shared" si="47"/>
        <v>-1</v>
      </c>
      <c r="D110" s="383">
        <v>-3.62</v>
      </c>
      <c r="E110" s="383">
        <v>-3.59</v>
      </c>
      <c r="F110" s="201">
        <f t="shared" si="43"/>
        <v>0.95399028541402331</v>
      </c>
      <c r="G110" s="383">
        <v>-78.027000000000001</v>
      </c>
      <c r="H110" s="201">
        <f t="shared" si="38"/>
        <v>-28.00631970260223</v>
      </c>
      <c r="I110" s="311">
        <v>-2.69</v>
      </c>
      <c r="J110" s="201">
        <f t="shared" si="39"/>
        <v>0.98686395155776929</v>
      </c>
      <c r="K110" s="311">
        <v>-204.78</v>
      </c>
      <c r="L110" s="202">
        <f t="shared" si="44"/>
        <v>-929.81818181818187</v>
      </c>
      <c r="M110" s="312">
        <v>-0.22</v>
      </c>
    </row>
    <row r="111" spans="1:13">
      <c r="A111" s="154" t="s">
        <v>146</v>
      </c>
      <c r="B111" s="383">
        <v>-4.3899999999999997</v>
      </c>
      <c r="C111" s="201">
        <f t="shared" si="47"/>
        <v>-2.3769230769230765</v>
      </c>
      <c r="D111" s="383">
        <v>-1.3</v>
      </c>
      <c r="E111" s="383">
        <v>-110.01</v>
      </c>
      <c r="F111" s="201">
        <f t="shared" si="43"/>
        <v>-5.1840331778119086E-4</v>
      </c>
      <c r="G111" s="383">
        <v>-109.953</v>
      </c>
      <c r="H111" s="201">
        <f t="shared" si="38"/>
        <v>-9.1886792452830157E-2</v>
      </c>
      <c r="I111" s="321">
        <v>-100.7</v>
      </c>
      <c r="J111" s="201">
        <f t="shared" si="39"/>
        <v>-0.43508621918198664</v>
      </c>
      <c r="K111" s="311">
        <v>-70.17</v>
      </c>
      <c r="L111" s="202">
        <f t="shared" ref="L111:L120" si="48">IF((+K111/M111)&lt;0,"n.m.",IF(K111&lt;0,(+K111/M111-1)*-1,(+K111/M111-1)))</f>
        <v>-0.24062942008486554</v>
      </c>
      <c r="M111" s="312">
        <v>-56.56</v>
      </c>
    </row>
    <row r="112" spans="1:13" s="2" customFormat="1" ht="22.5">
      <c r="A112" s="152" t="s">
        <v>75</v>
      </c>
      <c r="B112" s="324">
        <f>SUM(B106:B111)</f>
        <v>-261.02999999999997</v>
      </c>
      <c r="C112" s="153">
        <f t="shared" si="47"/>
        <v>-0.42429202815518074</v>
      </c>
      <c r="D112" s="324">
        <f>SUM(D106:D111)</f>
        <v>-183.27</v>
      </c>
      <c r="E112" s="324">
        <f>SUM(E106:E111)</f>
        <v>-411.61999999999995</v>
      </c>
      <c r="F112" s="153">
        <f t="shared" si="43"/>
        <v>0.22942423039769977</v>
      </c>
      <c r="G112" s="324">
        <f>SUM(G106:G111)</f>
        <v>-534.17200000000003</v>
      </c>
      <c r="H112" s="153">
        <f t="shared" si="38"/>
        <v>-1.2777247143100805</v>
      </c>
      <c r="I112" s="324">
        <f>SUM(I106:I111)</f>
        <v>-234.51999999999998</v>
      </c>
      <c r="J112" s="153">
        <f t="shared" si="39"/>
        <v>0.58431706193058952</v>
      </c>
      <c r="K112" s="325">
        <f>SUM(K106:K111)</f>
        <v>-564.17999999999995</v>
      </c>
      <c r="L112" s="203">
        <f t="shared" si="48"/>
        <v>-3.7994895789025938</v>
      </c>
      <c r="M112" s="325">
        <f>SUM(M106:M111)</f>
        <v>-117.55000000000001</v>
      </c>
    </row>
    <row r="113" spans="1:13" s="2" customFormat="1" ht="22.5">
      <c r="A113" s="152" t="s">
        <v>76</v>
      </c>
      <c r="B113" s="327">
        <f>B99+B105+B112</f>
        <v>-408.35000000000019</v>
      </c>
      <c r="C113" s="153">
        <f t="shared" si="47"/>
        <v>0.49116532921297906</v>
      </c>
      <c r="D113" s="327">
        <f>D99+D105+D112</f>
        <v>-802.52000000000021</v>
      </c>
      <c r="E113" s="327">
        <f>E99+E105+E112</f>
        <v>71.019999999999129</v>
      </c>
      <c r="F113" s="153" t="str">
        <f t="shared" si="43"/>
        <v>n.m.</v>
      </c>
      <c r="G113" s="327">
        <f>G99+G105+G112</f>
        <v>-385.92499999999905</v>
      </c>
      <c r="H113" s="153" t="str">
        <f t="shared" si="38"/>
        <v>n.m.</v>
      </c>
      <c r="I113" s="327">
        <f>I99+I105+I112</f>
        <v>777.36999999999807</v>
      </c>
      <c r="J113" s="153" t="str">
        <f t="shared" si="39"/>
        <v>n.m.</v>
      </c>
      <c r="K113" s="319">
        <f>K99+K105+K112</f>
        <v>-734.44000000000187</v>
      </c>
      <c r="L113" s="202" t="str">
        <f t="shared" si="48"/>
        <v>n.m.</v>
      </c>
      <c r="M113" s="319">
        <f>M99+M105+M112</f>
        <v>802.58999999999764</v>
      </c>
    </row>
    <row r="114" spans="1:13" ht="22.5">
      <c r="A114" s="154" t="s">
        <v>147</v>
      </c>
      <c r="B114" s="370">
        <f>E117</f>
        <v>2459.9669999999942</v>
      </c>
      <c r="C114" s="201">
        <f t="shared" si="47"/>
        <v>3.1719509448538075E-2</v>
      </c>
      <c r="D114" s="370">
        <f>G117</f>
        <v>2384.3369999999954</v>
      </c>
      <c r="E114" s="370">
        <f>G117</f>
        <v>2384.3369999999954</v>
      </c>
      <c r="F114" s="201">
        <f t="shared" si="43"/>
        <v>-0.14530457125732854</v>
      </c>
      <c r="G114" s="370">
        <f>I117</f>
        <v>2789.6919999999941</v>
      </c>
      <c r="H114" s="201">
        <f t="shared" si="38"/>
        <v>0.3965414012611308</v>
      </c>
      <c r="I114" s="321">
        <f>K117</f>
        <v>1997.571999999996</v>
      </c>
      <c r="J114" s="201">
        <f t="shared" si="39"/>
        <v>-0.26738750448353776</v>
      </c>
      <c r="K114" s="284">
        <f>M117</f>
        <v>2726.641999999998</v>
      </c>
      <c r="L114" s="202">
        <f t="shared" si="48"/>
        <v>0.43052566522668334</v>
      </c>
      <c r="M114" s="284">
        <v>1906.0419999999999</v>
      </c>
    </row>
    <row r="115" spans="1:13" ht="33.75">
      <c r="A115" s="154" t="s">
        <v>77</v>
      </c>
      <c r="B115" s="383">
        <v>-32.869999999999997</v>
      </c>
      <c r="C115" s="201" t="str">
        <f t="shared" si="47"/>
        <v>n.m.</v>
      </c>
      <c r="D115" s="383">
        <v>6.79</v>
      </c>
      <c r="E115" s="383">
        <v>3.97</v>
      </c>
      <c r="F115" s="201" t="str">
        <f t="shared" si="43"/>
        <v>n.m.</v>
      </c>
      <c r="G115" s="383">
        <v>-18.7</v>
      </c>
      <c r="H115" s="201" t="str">
        <f t="shared" si="38"/>
        <v>n.m.</v>
      </c>
      <c r="I115" s="321">
        <v>9.82</v>
      </c>
      <c r="J115" s="201">
        <f t="shared" si="39"/>
        <v>0.82867783985102417</v>
      </c>
      <c r="K115" s="321">
        <v>5.37</v>
      </c>
      <c r="L115" s="202">
        <f t="shared" si="48"/>
        <v>-5.9544658493870362E-2</v>
      </c>
      <c r="M115" s="284">
        <v>5.71</v>
      </c>
    </row>
    <row r="116" spans="1:13" ht="22.5">
      <c r="A116" s="154" t="s">
        <v>78</v>
      </c>
      <c r="B116" s="383">
        <v>0.7</v>
      </c>
      <c r="C116" s="201" t="str">
        <f t="shared" si="47"/>
        <v>n.m.</v>
      </c>
      <c r="D116" s="383">
        <v>-0.02</v>
      </c>
      <c r="E116" s="383">
        <v>0.64</v>
      </c>
      <c r="F116" s="201" t="str">
        <f t="shared" si="43"/>
        <v>n.m.</v>
      </c>
      <c r="G116" s="383">
        <v>-0.73</v>
      </c>
      <c r="H116" s="201" t="str">
        <f t="shared" si="38"/>
        <v>n.m.</v>
      </c>
      <c r="I116" s="321">
        <v>4.93</v>
      </c>
      <c r="J116" s="201"/>
      <c r="K116" s="321">
        <v>0</v>
      </c>
      <c r="L116" s="202">
        <f t="shared" si="48"/>
        <v>-1</v>
      </c>
      <c r="M116" s="284">
        <v>12.3</v>
      </c>
    </row>
    <row r="117" spans="1:13" s="2" customFormat="1" ht="32.25" customHeight="1">
      <c r="A117" s="152" t="s">
        <v>79</v>
      </c>
      <c r="B117" s="327">
        <f>B113+B114+B115+B116</f>
        <v>2019.446999999994</v>
      </c>
      <c r="C117" s="153">
        <f t="shared" si="47"/>
        <v>0.27122216158132995</v>
      </c>
      <c r="D117" s="327">
        <f>D113+D114+D115+D116</f>
        <v>1588.5869999999952</v>
      </c>
      <c r="E117" s="327">
        <f>E113+E114+E115+E116</f>
        <v>2459.9669999999942</v>
      </c>
      <c r="F117" s="153">
        <f t="shared" si="43"/>
        <v>3.1719509448538075E-2</v>
      </c>
      <c r="G117" s="327">
        <f>G113+G114+G115+G116</f>
        <v>2384.3369999999954</v>
      </c>
      <c r="H117" s="153">
        <f t="shared" si="38"/>
        <v>-0.14530457125732854</v>
      </c>
      <c r="I117" s="327">
        <f>I113+I114+I115+I116</f>
        <v>2789.6919999999941</v>
      </c>
      <c r="J117" s="153">
        <f t="shared" si="39"/>
        <v>0.3965414012611308</v>
      </c>
      <c r="K117" s="319">
        <f t="shared" ref="K117" si="49">K113+K114+K115+K116</f>
        <v>1997.571999999996</v>
      </c>
      <c r="L117" s="203">
        <f t="shared" si="48"/>
        <v>-0.26738750448353776</v>
      </c>
      <c r="M117" s="319">
        <f>M113+M114+M115+M116</f>
        <v>2726.641999999998</v>
      </c>
    </row>
    <row r="118" spans="1:13">
      <c r="A118" s="154" t="s">
        <v>80</v>
      </c>
      <c r="B118" s="476">
        <v>18.38</v>
      </c>
      <c r="C118" s="201">
        <f t="shared" si="47"/>
        <v>-0.41089743589743588</v>
      </c>
      <c r="D118" s="383">
        <v>31.2</v>
      </c>
      <c r="E118" s="383">
        <v>36.549999999999997</v>
      </c>
      <c r="F118" s="201">
        <f t="shared" si="43"/>
        <v>-0.19828909848651033</v>
      </c>
      <c r="G118" s="383">
        <v>45.59</v>
      </c>
      <c r="H118" s="201">
        <f t="shared" si="38"/>
        <v>7.5138121546962644E-3</v>
      </c>
      <c r="I118" s="321">
        <v>45.25</v>
      </c>
      <c r="J118" s="201">
        <f t="shared" si="39"/>
        <v>-8.5304224782696614E-2</v>
      </c>
      <c r="K118" s="328">
        <v>49.47</v>
      </c>
      <c r="L118" s="202">
        <f t="shared" si="48"/>
        <v>-0.26584945981241836</v>
      </c>
      <c r="M118" s="329">
        <v>67.384</v>
      </c>
    </row>
    <row r="119" spans="1:13">
      <c r="A119" s="154" t="s">
        <v>81</v>
      </c>
      <c r="B119" s="476">
        <v>8.7899999999999991</v>
      </c>
      <c r="C119" s="201">
        <f t="shared" si="47"/>
        <v>-0.19135234590616379</v>
      </c>
      <c r="D119" s="383">
        <v>10.87</v>
      </c>
      <c r="E119" s="383">
        <v>24.32</v>
      </c>
      <c r="F119" s="201">
        <f t="shared" si="43"/>
        <v>-3.3386327503974522E-2</v>
      </c>
      <c r="G119" s="383">
        <v>25.16</v>
      </c>
      <c r="H119" s="201">
        <f t="shared" si="38"/>
        <v>-0.33456757471568377</v>
      </c>
      <c r="I119" s="321">
        <v>37.81</v>
      </c>
      <c r="J119" s="201">
        <f t="shared" si="39"/>
        <v>1.312968917470525E-2</v>
      </c>
      <c r="K119" s="328">
        <v>37.32</v>
      </c>
      <c r="L119" s="202">
        <f t="shared" si="48"/>
        <v>-0.23970174795257304</v>
      </c>
      <c r="M119" s="329">
        <v>49.085999999999999</v>
      </c>
    </row>
    <row r="120" spans="1:13">
      <c r="A120" s="154" t="s">
        <v>82</v>
      </c>
      <c r="B120" s="476">
        <v>77.53</v>
      </c>
      <c r="C120" s="201">
        <f t="shared" si="47"/>
        <v>0.48838548665770776</v>
      </c>
      <c r="D120" s="383">
        <v>52.09</v>
      </c>
      <c r="E120" s="383">
        <v>122.74</v>
      </c>
      <c r="F120" s="201">
        <f t="shared" si="43"/>
        <v>0.35834440017706948</v>
      </c>
      <c r="G120" s="383">
        <v>90.36</v>
      </c>
      <c r="H120" s="201">
        <f t="shared" si="38"/>
        <v>2.6881632653061223</v>
      </c>
      <c r="I120" s="321">
        <v>24.5</v>
      </c>
      <c r="J120" s="201">
        <f t="shared" si="39"/>
        <v>-0.91076956695924538</v>
      </c>
      <c r="K120" s="328">
        <v>274.57</v>
      </c>
      <c r="L120" s="202">
        <f t="shared" si="48"/>
        <v>1.7172772796548106</v>
      </c>
      <c r="M120" s="329">
        <v>101.04600000000001</v>
      </c>
    </row>
    <row r="121" spans="1:13" s="16" customFormat="1">
      <c r="A121" s="152" t="s">
        <v>83</v>
      </c>
      <c r="B121" s="330">
        <f>-B19/B18</f>
        <v>0.98006959822841688</v>
      </c>
      <c r="C121" s="439"/>
      <c r="D121" s="330">
        <f>-D19/D18</f>
        <v>0.66409638554217043</v>
      </c>
      <c r="E121" s="330">
        <f>-E19/E18</f>
        <v>0.34418959185087705</v>
      </c>
      <c r="F121" s="170"/>
      <c r="G121" s="330">
        <f>-G19/G18</f>
        <v>0.31651283674434394</v>
      </c>
      <c r="H121" s="170"/>
      <c r="I121" s="330">
        <f>-I19/I18</f>
        <v>0.30590441822369024</v>
      </c>
      <c r="J121" s="170"/>
      <c r="K121" s="330">
        <f>-K19/K18</f>
        <v>0.33037304395317502</v>
      </c>
      <c r="L121" s="202"/>
      <c r="M121" s="330">
        <f>-M19/M18</f>
        <v>0.42363085086223534</v>
      </c>
    </row>
    <row r="122" spans="1:13">
      <c r="A122" s="154"/>
      <c r="B122" s="440"/>
      <c r="C122" s="441"/>
      <c r="D122" s="440"/>
      <c r="E122" s="284"/>
      <c r="F122" s="161"/>
      <c r="G122" s="284"/>
      <c r="H122" s="161"/>
      <c r="I122" s="284"/>
      <c r="J122" s="161"/>
      <c r="K122" s="318"/>
      <c r="L122" s="202"/>
      <c r="M122" s="318"/>
    </row>
    <row r="123" spans="1:13" s="375" customFormat="1" ht="22.5">
      <c r="A123" s="371" t="s">
        <v>164</v>
      </c>
      <c r="B123" s="383">
        <v>-18.329999999999998</v>
      </c>
      <c r="C123" s="478"/>
      <c r="D123" s="383">
        <v>0</v>
      </c>
      <c r="E123" s="383">
        <v>-41.81</v>
      </c>
      <c r="F123" s="479"/>
      <c r="G123" s="383"/>
      <c r="H123" s="479"/>
      <c r="I123" s="383"/>
      <c r="J123" s="479"/>
      <c r="K123" s="480"/>
      <c r="L123" s="481"/>
      <c r="M123" s="480"/>
    </row>
    <row r="124" spans="1:13" s="485" customFormat="1" ht="45">
      <c r="A124" s="371" t="s">
        <v>165</v>
      </c>
      <c r="B124" s="383">
        <f>-B123-B101</f>
        <v>242.19</v>
      </c>
      <c r="C124" s="482"/>
      <c r="D124" s="383">
        <f>-D123-D101</f>
        <v>313.10000000000002</v>
      </c>
      <c r="E124" s="383">
        <f>-E123-E101</f>
        <v>689.25</v>
      </c>
      <c r="F124" s="483"/>
      <c r="G124" s="387"/>
      <c r="H124" s="483"/>
      <c r="I124" s="484"/>
      <c r="J124" s="483"/>
      <c r="K124" s="484"/>
      <c r="L124" s="481"/>
      <c r="M124" s="484"/>
    </row>
    <row r="125" spans="1:13" s="2" customFormat="1">
      <c r="A125" s="152" t="s">
        <v>84</v>
      </c>
      <c r="B125" s="327">
        <f>-B101-B100-B104</f>
        <v>245.11</v>
      </c>
      <c r="C125" s="153">
        <f>IF((+B125/D125)&lt;0,"n.m.",IF(B125&lt;0,(+B125/D125-1)*-1,(+B125/D125-1)))</f>
        <v>-0.27638532164260621</v>
      </c>
      <c r="D125" s="319">
        <f>-D101-D100-D104</f>
        <v>338.73</v>
      </c>
      <c r="E125" s="327">
        <f>-E101-E100-E104</f>
        <v>687.54000000000008</v>
      </c>
      <c r="F125" s="153">
        <f t="shared" ref="F125" si="50">IF((+E125/G125)&lt;0,"n.m.",IF(E125&lt;0,(+E125/G125-1)*-1,(+E125/G125-1)))</f>
        <v>-7.4397922463964261E-2</v>
      </c>
      <c r="G125" s="319">
        <f>-G101-G100-G104</f>
        <v>742.80300000000011</v>
      </c>
      <c r="H125" s="153">
        <f t="shared" ref="H125" si="51">IF((+G125/I125)&lt;0,"n.m.",IF(G125&lt;0,(+G125/I125-1)*-1,(+G125/I125-1)))</f>
        <v>0.48098532578355546</v>
      </c>
      <c r="I125" s="319">
        <f>-I101-I100-I104</f>
        <v>501.56</v>
      </c>
      <c r="J125" s="153">
        <f t="shared" ref="J125" si="52">IF((+I125/K125)&lt;0,"n.m.",IF(I125&lt;0,(+I125/K125-1)*-1,(+I125/K125-1)))</f>
        <v>-0.17708247879374561</v>
      </c>
      <c r="K125" s="319">
        <f>-K101-K100-K104</f>
        <v>609.49</v>
      </c>
      <c r="L125" s="203">
        <f>IF((+K125/M125)&lt;0,"n.m.",IF(K125&lt;0,(+K125/M125-1)*-1,(+K125/M125-1)))</f>
        <v>0.43362186573834482</v>
      </c>
      <c r="M125" s="319">
        <f>-M101-M100-M104</f>
        <v>425.14000000000004</v>
      </c>
    </row>
    <row r="126" spans="1:13">
      <c r="A126" s="154"/>
      <c r="B126" s="442"/>
      <c r="C126" s="441"/>
      <c r="D126" s="442"/>
      <c r="E126" s="318"/>
      <c r="F126" s="161"/>
      <c r="G126" s="318"/>
      <c r="H126" s="161"/>
      <c r="I126" s="318"/>
      <c r="J126" s="161"/>
      <c r="K126" s="318"/>
      <c r="L126" s="318"/>
      <c r="M126" s="318"/>
    </row>
    <row r="127" spans="1:13" s="2" customFormat="1">
      <c r="A127" s="2" t="s">
        <v>85</v>
      </c>
      <c r="B127" s="443"/>
      <c r="C127" s="444"/>
      <c r="D127" s="443"/>
      <c r="E127" s="331"/>
      <c r="F127" s="10"/>
      <c r="G127" s="331"/>
      <c r="H127" s="10"/>
      <c r="I127" s="331"/>
      <c r="J127" s="10"/>
      <c r="K127" s="331"/>
      <c r="L127" s="331"/>
      <c r="M127" s="331"/>
    </row>
    <row r="128" spans="1:13" s="2" customFormat="1">
      <c r="A128" s="6" t="s">
        <v>86</v>
      </c>
      <c r="B128" s="146">
        <v>27909</v>
      </c>
      <c r="C128" s="201">
        <f t="shared" ref="C128:C155" si="53">IF((+B128/D128)&lt;0,"n.m.",IF(B128&lt;0,(+B128/D128-1)*-1,(+B128/D128-1)))</f>
        <v>-6.8551213162900915E-2</v>
      </c>
      <c r="D128" s="146">
        <v>29963</v>
      </c>
      <c r="E128" s="146">
        <v>29132</v>
      </c>
      <c r="F128" s="201">
        <f t="shared" ref="F128:F155" si="54">IF((+E128/G128)&lt;0,"n.m.",IF(E128&lt;0,(+E128/G128-1)*-1,(+E128/G128-1)))</f>
        <v>-1.5644534549755007E-2</v>
      </c>
      <c r="G128" s="146">
        <v>29595</v>
      </c>
      <c r="H128" s="201">
        <f t="shared" ref="H128:H157" si="55">IF((+G128/I128)&lt;0,"n.m.",IF(G128&lt;0,(+G128/I128-1)*-1,(+G128/I128-1)))</f>
        <v>-4.105394218797298E-3</v>
      </c>
      <c r="I128" s="146">
        <v>29717</v>
      </c>
      <c r="J128" s="201">
        <f t="shared" ref="J128:J158" si="56">IF((+I128/K128)&lt;0,"n.m.",IF(I128&lt;0,(+I128/K128-1)*-1,(+I128/K128-1)))</f>
        <v>3.0194827705747773E-2</v>
      </c>
      <c r="K128" s="204">
        <v>28846</v>
      </c>
      <c r="L128" s="208">
        <f t="shared" ref="L128:L155" si="57">IF((+K128/M128)&lt;0,"n.m.",IF(K128&lt;0,(+K128/M128-1)*-1,(+K128/M128-1)))</f>
        <v>-4.9672300793377477E-3</v>
      </c>
      <c r="M128" s="204">
        <v>28990</v>
      </c>
    </row>
    <row r="129" spans="1:13" s="2" customFormat="1">
      <c r="A129" s="6" t="s">
        <v>87</v>
      </c>
      <c r="B129" s="146">
        <v>10982</v>
      </c>
      <c r="C129" s="201">
        <f t="shared" si="53"/>
        <v>-5.4605023662179786E-4</v>
      </c>
      <c r="D129" s="146">
        <v>10988</v>
      </c>
      <c r="E129" s="146">
        <v>11524</v>
      </c>
      <c r="F129" s="201">
        <f t="shared" si="54"/>
        <v>3.5399820305480612E-2</v>
      </c>
      <c r="G129" s="146">
        <v>11130</v>
      </c>
      <c r="H129" s="201">
        <f t="shared" si="55"/>
        <v>5.2581804425950507E-2</v>
      </c>
      <c r="I129" s="146">
        <v>10574</v>
      </c>
      <c r="J129" s="201">
        <f t="shared" si="56"/>
        <v>2.5208454527826163E-2</v>
      </c>
      <c r="K129" s="204">
        <v>10314</v>
      </c>
      <c r="L129" s="208">
        <f t="shared" si="57"/>
        <v>-3.09298279528325E-3</v>
      </c>
      <c r="M129" s="204">
        <v>10346</v>
      </c>
    </row>
    <row r="130" spans="1:13" s="2" customFormat="1">
      <c r="A130" s="9" t="s">
        <v>88</v>
      </c>
      <c r="B130" s="146">
        <v>6406</v>
      </c>
      <c r="C130" s="201">
        <f t="shared" si="53"/>
        <v>7.3751257123700897E-2</v>
      </c>
      <c r="D130" s="146">
        <v>5966</v>
      </c>
      <c r="E130" s="146">
        <v>6186</v>
      </c>
      <c r="F130" s="201">
        <f t="shared" si="54"/>
        <v>0.17292377701934014</v>
      </c>
      <c r="G130" s="146">
        <v>5274</v>
      </c>
      <c r="H130" s="201">
        <f t="shared" si="55"/>
        <v>0.11008208798147767</v>
      </c>
      <c r="I130" s="146">
        <v>4751</v>
      </c>
      <c r="J130" s="201">
        <f t="shared" si="56"/>
        <v>4.3258673693456373E-2</v>
      </c>
      <c r="K130" s="204">
        <v>4554</v>
      </c>
      <c r="L130" s="208">
        <f t="shared" si="57"/>
        <v>2.1763518061476361E-2</v>
      </c>
      <c r="M130" s="204">
        <v>4457</v>
      </c>
    </row>
    <row r="131" spans="1:13" s="2" customFormat="1">
      <c r="A131" s="9" t="s">
        <v>89</v>
      </c>
      <c r="B131" s="146">
        <v>3909</v>
      </c>
      <c r="C131" s="201">
        <f t="shared" si="53"/>
        <v>5.3071120689655249E-2</v>
      </c>
      <c r="D131" s="146">
        <v>3712</v>
      </c>
      <c r="E131" s="146">
        <v>3916</v>
      </c>
      <c r="F131" s="201">
        <f t="shared" si="54"/>
        <v>4.5940170940170999E-2</v>
      </c>
      <c r="G131" s="146">
        <v>3744</v>
      </c>
      <c r="H131" s="201">
        <f t="shared" si="55"/>
        <v>2.323039081716316E-2</v>
      </c>
      <c r="I131" s="146">
        <v>3659</v>
      </c>
      <c r="J131" s="201">
        <f t="shared" si="56"/>
        <v>-3.5403050108931966E-3</v>
      </c>
      <c r="K131" s="204">
        <v>3672</v>
      </c>
      <c r="L131" s="208">
        <f t="shared" si="57"/>
        <v>-5.4171180931744667E-3</v>
      </c>
      <c r="M131" s="204">
        <v>3692</v>
      </c>
    </row>
    <row r="132" spans="1:13">
      <c r="A132" s="9" t="s">
        <v>90</v>
      </c>
      <c r="B132" s="146">
        <v>2869</v>
      </c>
      <c r="C132" s="201">
        <f t="shared" si="53"/>
        <v>0</v>
      </c>
      <c r="D132" s="146">
        <v>2869</v>
      </c>
      <c r="E132" s="146">
        <v>2890</v>
      </c>
      <c r="F132" s="201">
        <f t="shared" si="54"/>
        <v>-5.0591327201051195E-2</v>
      </c>
      <c r="G132" s="146">
        <v>3044</v>
      </c>
      <c r="H132" s="201">
        <f t="shared" si="55"/>
        <v>0.10932944606413986</v>
      </c>
      <c r="I132" s="146">
        <v>2744</v>
      </c>
      <c r="J132" s="201">
        <f t="shared" si="56"/>
        <v>5.7418111753371859E-2</v>
      </c>
      <c r="K132" s="204">
        <v>2595</v>
      </c>
      <c r="L132" s="208">
        <f t="shared" si="57"/>
        <v>-3.7462908011869467E-2</v>
      </c>
      <c r="M132" s="204">
        <v>2696</v>
      </c>
    </row>
    <row r="133" spans="1:13">
      <c r="A133" s="9" t="s">
        <v>132</v>
      </c>
      <c r="B133" s="146">
        <v>721</v>
      </c>
      <c r="C133" s="201">
        <f t="shared" si="53"/>
        <v>6.973293768545985E-2</v>
      </c>
      <c r="D133" s="146">
        <v>674</v>
      </c>
      <c r="E133" s="146">
        <v>660</v>
      </c>
      <c r="F133" s="201">
        <f t="shared" si="54"/>
        <v>-9.4650205761316886E-2</v>
      </c>
      <c r="G133" s="146">
        <v>729</v>
      </c>
      <c r="H133" s="201">
        <f t="shared" si="55"/>
        <v>-0.17533936651583715</v>
      </c>
      <c r="I133" s="146">
        <v>884</v>
      </c>
      <c r="J133" s="201">
        <f t="shared" si="56"/>
        <v>-0.23197219808861858</v>
      </c>
      <c r="K133" s="204">
        <v>1151</v>
      </c>
      <c r="L133" s="208">
        <f t="shared" si="57"/>
        <v>-0.16835260115606931</v>
      </c>
      <c r="M133" s="204">
        <v>1384</v>
      </c>
    </row>
    <row r="134" spans="1:13">
      <c r="A134" s="9" t="s">
        <v>91</v>
      </c>
      <c r="B134" s="146">
        <v>1762</v>
      </c>
      <c r="C134" s="201">
        <f t="shared" si="53"/>
        <v>-4.2911461162411735E-2</v>
      </c>
      <c r="D134" s="146">
        <v>1841</v>
      </c>
      <c r="E134" s="146">
        <v>1831</v>
      </c>
      <c r="F134" s="201">
        <f t="shared" si="54"/>
        <v>-3.8845144356955408E-2</v>
      </c>
      <c r="G134" s="146">
        <v>1905</v>
      </c>
      <c r="H134" s="201">
        <f t="shared" si="55"/>
        <v>-4.7021943573667402E-3</v>
      </c>
      <c r="I134" s="146">
        <v>1914</v>
      </c>
      <c r="J134" s="201">
        <f t="shared" si="56"/>
        <v>4.5330420535226734E-2</v>
      </c>
      <c r="K134" s="204">
        <v>1831</v>
      </c>
      <c r="L134" s="208">
        <f t="shared" si="57"/>
        <v>7.1507150715071077E-3</v>
      </c>
      <c r="M134" s="204">
        <v>1818</v>
      </c>
    </row>
    <row r="135" spans="1:13">
      <c r="A135" s="9" t="s">
        <v>92</v>
      </c>
      <c r="B135" s="146">
        <v>1684</v>
      </c>
      <c r="C135" s="201">
        <f t="shared" si="53"/>
        <v>0.17927170868347342</v>
      </c>
      <c r="D135" s="146">
        <v>1428</v>
      </c>
      <c r="E135" s="146">
        <v>1524</v>
      </c>
      <c r="F135" s="201">
        <f t="shared" si="54"/>
        <v>8.7794432548179868E-2</v>
      </c>
      <c r="G135" s="146">
        <v>1401</v>
      </c>
      <c r="H135" s="201">
        <f t="shared" si="55"/>
        <v>2.9390154298310156E-2</v>
      </c>
      <c r="I135" s="146">
        <v>1361</v>
      </c>
      <c r="J135" s="201">
        <f t="shared" si="56"/>
        <v>2.8722600151171562E-2</v>
      </c>
      <c r="K135" s="204">
        <v>1323</v>
      </c>
      <c r="L135" s="208">
        <f t="shared" si="57"/>
        <v>4.2553191489361764E-2</v>
      </c>
      <c r="M135" s="204">
        <v>1269</v>
      </c>
    </row>
    <row r="136" spans="1:13">
      <c r="A136" s="9" t="s">
        <v>93</v>
      </c>
      <c r="B136" s="146">
        <v>1208</v>
      </c>
      <c r="C136" s="201">
        <f t="shared" si="53"/>
        <v>0.14285714285714279</v>
      </c>
      <c r="D136" s="146">
        <v>1057</v>
      </c>
      <c r="E136" s="146">
        <v>1078</v>
      </c>
      <c r="F136" s="201">
        <f t="shared" si="54"/>
        <v>0.101123595505618</v>
      </c>
      <c r="G136" s="146">
        <v>979</v>
      </c>
      <c r="H136" s="201">
        <f t="shared" si="55"/>
        <v>0.14102564102564097</v>
      </c>
      <c r="I136" s="146">
        <v>858</v>
      </c>
      <c r="J136" s="201">
        <f t="shared" si="56"/>
        <v>0.21702127659574466</v>
      </c>
      <c r="K136" s="204">
        <v>705</v>
      </c>
      <c r="L136" s="208">
        <f t="shared" si="57"/>
        <v>1.7316017316017396E-2</v>
      </c>
      <c r="M136" s="204">
        <v>693</v>
      </c>
    </row>
    <row r="137" spans="1:13">
      <c r="A137" s="9" t="s">
        <v>94</v>
      </c>
      <c r="B137" s="146">
        <v>152</v>
      </c>
      <c r="C137" s="201">
        <f t="shared" si="53"/>
        <v>-3.7974683544303778E-2</v>
      </c>
      <c r="D137" s="146">
        <v>158</v>
      </c>
      <c r="E137" s="146">
        <v>159</v>
      </c>
      <c r="F137" s="201">
        <f t="shared" si="54"/>
        <v>-5.9171597633136064E-2</v>
      </c>
      <c r="G137" s="146">
        <v>169</v>
      </c>
      <c r="H137" s="201">
        <f t="shared" si="55"/>
        <v>-0.20657276995305163</v>
      </c>
      <c r="I137" s="146">
        <v>213</v>
      </c>
      <c r="J137" s="201">
        <f t="shared" si="56"/>
        <v>-4.6728971962616273E-3</v>
      </c>
      <c r="K137" s="204">
        <v>214</v>
      </c>
      <c r="L137" s="208">
        <f t="shared" si="57"/>
        <v>-1.3824884792626779E-2</v>
      </c>
      <c r="M137" s="204">
        <v>217</v>
      </c>
    </row>
    <row r="138" spans="1:13">
      <c r="A138" s="9" t="s">
        <v>95</v>
      </c>
      <c r="B138" s="146">
        <v>1524</v>
      </c>
      <c r="C138" s="201">
        <f t="shared" si="53"/>
        <v>0.14759036144578319</v>
      </c>
      <c r="D138" s="146">
        <v>1328</v>
      </c>
      <c r="E138" s="146">
        <v>1392</v>
      </c>
      <c r="F138" s="201">
        <f t="shared" si="54"/>
        <v>0.15327257663628835</v>
      </c>
      <c r="G138" s="146">
        <v>1207</v>
      </c>
      <c r="H138" s="201">
        <f t="shared" si="55"/>
        <v>0.16505791505791501</v>
      </c>
      <c r="I138" s="146">
        <v>1036</v>
      </c>
      <c r="J138" s="201">
        <f t="shared" si="56"/>
        <v>0.17727272727272725</v>
      </c>
      <c r="K138" s="204">
        <v>880</v>
      </c>
      <c r="L138" s="208">
        <f t="shared" si="57"/>
        <v>0.23422159887798033</v>
      </c>
      <c r="M138" s="204">
        <v>713</v>
      </c>
    </row>
    <row r="139" spans="1:13">
      <c r="A139" s="9" t="s">
        <v>96</v>
      </c>
      <c r="B139" s="146">
        <v>445</v>
      </c>
      <c r="C139" s="201">
        <f t="shared" si="53"/>
        <v>0.12090680100755669</v>
      </c>
      <c r="D139" s="146">
        <v>397</v>
      </c>
      <c r="E139" s="146">
        <v>401</v>
      </c>
      <c r="F139" s="201">
        <f t="shared" si="54"/>
        <v>9.5628415300546443E-2</v>
      </c>
      <c r="G139" s="146">
        <v>366</v>
      </c>
      <c r="H139" s="201">
        <f t="shared" si="55"/>
        <v>5.7803468208092568E-2</v>
      </c>
      <c r="I139" s="146">
        <v>346</v>
      </c>
      <c r="J139" s="201">
        <f t="shared" si="56"/>
        <v>1.1695906432748648E-2</v>
      </c>
      <c r="K139" s="204">
        <v>342</v>
      </c>
      <c r="L139" s="208">
        <f t="shared" si="57"/>
        <v>5.8823529411764497E-3</v>
      </c>
      <c r="M139" s="204">
        <v>340</v>
      </c>
    </row>
    <row r="140" spans="1:13">
      <c r="A140" s="9" t="s">
        <v>97</v>
      </c>
      <c r="B140" s="146">
        <v>814</v>
      </c>
      <c r="C140" s="201">
        <f t="shared" si="53"/>
        <v>-8.0225988700564965E-2</v>
      </c>
      <c r="D140" s="146">
        <v>885</v>
      </c>
      <c r="E140" s="146">
        <v>880</v>
      </c>
      <c r="F140" s="201">
        <f t="shared" si="54"/>
        <v>-8.9968976215098251E-2</v>
      </c>
      <c r="G140" s="146">
        <v>967</v>
      </c>
      <c r="H140" s="201">
        <f t="shared" si="55"/>
        <v>-9.3720712277413298E-2</v>
      </c>
      <c r="I140" s="146">
        <v>1067</v>
      </c>
      <c r="J140" s="201">
        <f t="shared" si="56"/>
        <v>-0.12826797385620914</v>
      </c>
      <c r="K140" s="204">
        <v>1224</v>
      </c>
      <c r="L140" s="208">
        <f t="shared" si="57"/>
        <v>-9.1314031180400934E-2</v>
      </c>
      <c r="M140" s="204">
        <v>1347</v>
      </c>
    </row>
    <row r="141" spans="1:13">
      <c r="A141" s="6" t="s">
        <v>98</v>
      </c>
      <c r="B141" s="359">
        <v>564</v>
      </c>
      <c r="C141" s="201">
        <f t="shared" si="53"/>
        <v>-8.737864077669899E-2</v>
      </c>
      <c r="D141" s="359">
        <v>618</v>
      </c>
      <c r="E141" s="359">
        <v>602</v>
      </c>
      <c r="F141" s="201">
        <f t="shared" si="54"/>
        <v>-2.2727272727272707E-2</v>
      </c>
      <c r="G141" s="359">
        <v>616</v>
      </c>
      <c r="H141" s="201">
        <f t="shared" si="55"/>
        <v>-2.8391167192429068E-2</v>
      </c>
      <c r="I141" s="359">
        <v>634</v>
      </c>
      <c r="J141" s="201">
        <f t="shared" si="56"/>
        <v>0</v>
      </c>
      <c r="K141" s="333">
        <v>634</v>
      </c>
      <c r="L141" s="208">
        <f t="shared" si="57"/>
        <v>-9.9431818181818232E-2</v>
      </c>
      <c r="M141" s="333">
        <v>704</v>
      </c>
    </row>
    <row r="142" spans="1:13">
      <c r="A142" s="6" t="s">
        <v>99</v>
      </c>
      <c r="B142" s="146">
        <v>391</v>
      </c>
      <c r="C142" s="201">
        <f t="shared" si="53"/>
        <v>-7.3459715639810463E-2</v>
      </c>
      <c r="D142" s="146">
        <v>422</v>
      </c>
      <c r="E142" s="146">
        <v>436</v>
      </c>
      <c r="F142" s="201">
        <f t="shared" si="54"/>
        <v>6.9284064665127154E-3</v>
      </c>
      <c r="G142" s="146">
        <v>433</v>
      </c>
      <c r="H142" s="201">
        <f t="shared" si="55"/>
        <v>6.1274509803921573E-2</v>
      </c>
      <c r="I142" s="146">
        <v>408</v>
      </c>
      <c r="J142" s="201">
        <f t="shared" si="56"/>
        <v>-5.555555555555558E-2</v>
      </c>
      <c r="K142" s="204">
        <v>432</v>
      </c>
      <c r="L142" s="208">
        <f t="shared" si="57"/>
        <v>-0.11111111111111116</v>
      </c>
      <c r="M142" s="204">
        <v>486</v>
      </c>
    </row>
    <row r="143" spans="1:13" s="2" customFormat="1">
      <c r="A143" s="6" t="s">
        <v>100</v>
      </c>
      <c r="B143" s="146">
        <v>206</v>
      </c>
      <c r="C143" s="201">
        <f t="shared" si="53"/>
        <v>0.17045454545454541</v>
      </c>
      <c r="D143" s="146">
        <v>176</v>
      </c>
      <c r="E143" s="146">
        <v>171</v>
      </c>
      <c r="F143" s="201">
        <f t="shared" si="54"/>
        <v>0.19580419580419584</v>
      </c>
      <c r="G143" s="146">
        <v>143</v>
      </c>
      <c r="H143" s="201">
        <f t="shared" si="55"/>
        <v>-0.25520833333333337</v>
      </c>
      <c r="I143" s="146">
        <v>192</v>
      </c>
      <c r="J143" s="201">
        <f t="shared" si="56"/>
        <v>-0.25291828793774318</v>
      </c>
      <c r="K143" s="204">
        <v>257</v>
      </c>
      <c r="L143" s="208">
        <f t="shared" si="57"/>
        <v>-0.2614942528735632</v>
      </c>
      <c r="M143" s="204">
        <v>348</v>
      </c>
    </row>
    <row r="144" spans="1:13">
      <c r="A144" s="6" t="s">
        <v>101</v>
      </c>
      <c r="B144" s="146">
        <v>270</v>
      </c>
      <c r="C144" s="201">
        <f t="shared" si="53"/>
        <v>-8.7837837837837829E-2</v>
      </c>
      <c r="D144" s="146">
        <v>296</v>
      </c>
      <c r="E144" s="146">
        <v>294</v>
      </c>
      <c r="F144" s="201">
        <f t="shared" si="54"/>
        <v>3.1578947368421151E-2</v>
      </c>
      <c r="G144" s="146">
        <v>285</v>
      </c>
      <c r="H144" s="201">
        <f t="shared" si="55"/>
        <v>-0.19491525423728817</v>
      </c>
      <c r="I144" s="146">
        <v>354</v>
      </c>
      <c r="J144" s="201">
        <f t="shared" si="56"/>
        <v>-0.28048780487804881</v>
      </c>
      <c r="K144" s="204">
        <v>492</v>
      </c>
      <c r="L144" s="208">
        <f t="shared" si="57"/>
        <v>-4.4660194174757306E-2</v>
      </c>
      <c r="M144" s="204">
        <v>515</v>
      </c>
    </row>
    <row r="145" spans="1:13">
      <c r="A145" s="6" t="s">
        <v>102</v>
      </c>
      <c r="B145" s="146">
        <v>1584</v>
      </c>
      <c r="C145" s="201">
        <f t="shared" si="53"/>
        <v>7.9019073569482234E-2</v>
      </c>
      <c r="D145" s="146">
        <v>1468</v>
      </c>
      <c r="E145" s="146">
        <v>1528</v>
      </c>
      <c r="F145" s="201">
        <f t="shared" si="54"/>
        <v>0.18818040435458783</v>
      </c>
      <c r="G145" s="146">
        <v>1286</v>
      </c>
      <c r="H145" s="201">
        <f t="shared" si="55"/>
        <v>1.579778830963674E-2</v>
      </c>
      <c r="I145" s="146">
        <v>1266</v>
      </c>
      <c r="J145" s="201">
        <f t="shared" si="56"/>
        <v>0.27878787878787881</v>
      </c>
      <c r="K145" s="204">
        <v>990</v>
      </c>
      <c r="L145" s="208">
        <f t="shared" si="57"/>
        <v>5.2072263549415521E-2</v>
      </c>
      <c r="M145" s="204">
        <v>941</v>
      </c>
    </row>
    <row r="146" spans="1:13">
      <c r="A146" s="6" t="s">
        <v>103</v>
      </c>
      <c r="B146" s="146">
        <v>1759</v>
      </c>
      <c r="C146" s="201">
        <f t="shared" si="53"/>
        <v>-0.40973154362416109</v>
      </c>
      <c r="D146" s="146">
        <v>2980</v>
      </c>
      <c r="E146" s="146">
        <v>2704</v>
      </c>
      <c r="F146" s="201">
        <f t="shared" si="54"/>
        <v>-0.28879537085744345</v>
      </c>
      <c r="G146" s="146">
        <v>3802</v>
      </c>
      <c r="H146" s="201">
        <f t="shared" si="55"/>
        <v>-1.5025906735751327E-2</v>
      </c>
      <c r="I146" s="146">
        <v>3860</v>
      </c>
      <c r="J146" s="201">
        <f t="shared" si="56"/>
        <v>-0.16738567730802412</v>
      </c>
      <c r="K146" s="204">
        <v>4636</v>
      </c>
      <c r="L146" s="208">
        <f t="shared" si="57"/>
        <v>-0.22513789069028911</v>
      </c>
      <c r="M146" s="204">
        <v>5983</v>
      </c>
    </row>
    <row r="147" spans="1:13">
      <c r="A147" s="6" t="s">
        <v>104</v>
      </c>
      <c r="B147" s="146">
        <v>7167</v>
      </c>
      <c r="C147" s="201">
        <f t="shared" si="53"/>
        <v>-4.2868589743589758E-2</v>
      </c>
      <c r="D147" s="146">
        <v>7488</v>
      </c>
      <c r="E147" s="146">
        <v>7613</v>
      </c>
      <c r="F147" s="201">
        <f t="shared" si="54"/>
        <v>0.16602848828304495</v>
      </c>
      <c r="G147" s="146">
        <v>6529</v>
      </c>
      <c r="H147" s="201">
        <f t="shared" si="55"/>
        <v>0.25606002308580234</v>
      </c>
      <c r="I147" s="146">
        <v>5198</v>
      </c>
      <c r="J147" s="201">
        <f t="shared" si="56"/>
        <v>3.8146594767325848E-2</v>
      </c>
      <c r="K147" s="204">
        <v>5007</v>
      </c>
      <c r="L147" s="208">
        <f t="shared" si="57"/>
        <v>0.19384835479256091</v>
      </c>
      <c r="M147" s="204">
        <v>4194</v>
      </c>
    </row>
    <row r="148" spans="1:13">
      <c r="A148" s="6" t="s">
        <v>105</v>
      </c>
      <c r="B148" s="353">
        <v>787</v>
      </c>
      <c r="C148" s="201">
        <f t="shared" si="53"/>
        <v>-0.23814133591481124</v>
      </c>
      <c r="D148" s="353">
        <v>1033</v>
      </c>
      <c r="E148" s="353">
        <v>1063</v>
      </c>
      <c r="F148" s="201">
        <f t="shared" si="54"/>
        <v>-8.3955223880597396E-3</v>
      </c>
      <c r="G148" s="353">
        <v>1072</v>
      </c>
      <c r="H148" s="201">
        <f t="shared" si="55"/>
        <v>-4.4563279857397498E-2</v>
      </c>
      <c r="I148" s="360">
        <v>1122</v>
      </c>
      <c r="J148" s="201">
        <f t="shared" si="56"/>
        <v>0.11089108910891099</v>
      </c>
      <c r="K148" s="205">
        <v>1010</v>
      </c>
      <c r="L148" s="208">
        <f t="shared" si="57"/>
        <v>-0.23600605143721631</v>
      </c>
      <c r="M148" s="205">
        <v>1322</v>
      </c>
    </row>
    <row r="149" spans="1:13">
      <c r="A149" s="6" t="s">
        <v>106</v>
      </c>
      <c r="B149" s="353">
        <v>980</v>
      </c>
      <c r="C149" s="201">
        <f t="shared" si="53"/>
        <v>9.9887766554433322E-2</v>
      </c>
      <c r="D149" s="353">
        <v>891</v>
      </c>
      <c r="E149" s="353">
        <v>935</v>
      </c>
      <c r="F149" s="201">
        <f t="shared" si="54"/>
        <v>0.19260204081632648</v>
      </c>
      <c r="G149" s="353">
        <v>784</v>
      </c>
      <c r="H149" s="201">
        <f t="shared" si="55"/>
        <v>5.0938337801608613E-2</v>
      </c>
      <c r="I149" s="360">
        <v>746</v>
      </c>
      <c r="J149" s="201">
        <f t="shared" si="56"/>
        <v>2.1917808219177992E-2</v>
      </c>
      <c r="K149" s="205">
        <v>730</v>
      </c>
      <c r="L149" s="208">
        <f t="shared" si="57"/>
        <v>-0.15116279069767447</v>
      </c>
      <c r="M149" s="205">
        <v>860</v>
      </c>
    </row>
    <row r="150" spans="1:13">
      <c r="A150" s="13" t="s">
        <v>86</v>
      </c>
      <c r="B150" s="360">
        <f>B128</f>
        <v>27909</v>
      </c>
      <c r="C150" s="201">
        <f t="shared" si="53"/>
        <v>-6.8551213162900915E-2</v>
      </c>
      <c r="D150" s="360">
        <f>D128</f>
        <v>29963</v>
      </c>
      <c r="E150" s="360">
        <f>E128</f>
        <v>29132</v>
      </c>
      <c r="F150" s="201">
        <f t="shared" si="54"/>
        <v>-1.5644534549755007E-2</v>
      </c>
      <c r="G150" s="360">
        <f>G128</f>
        <v>29595</v>
      </c>
      <c r="H150" s="201">
        <f t="shared" si="55"/>
        <v>-4.105394218797298E-3</v>
      </c>
      <c r="I150" s="360">
        <f>I128</f>
        <v>29717</v>
      </c>
      <c r="J150" s="201">
        <f t="shared" si="56"/>
        <v>3.0194827705747773E-2</v>
      </c>
      <c r="K150" s="294">
        <f>K128</f>
        <v>28846</v>
      </c>
      <c r="L150" s="208">
        <f t="shared" si="57"/>
        <v>-4.9672300793377477E-3</v>
      </c>
      <c r="M150" s="294">
        <f>M128</f>
        <v>28990</v>
      </c>
    </row>
    <row r="151" spans="1:13">
      <c r="A151" s="13" t="s">
        <v>87</v>
      </c>
      <c r="B151" s="360">
        <f>B129</f>
        <v>10982</v>
      </c>
      <c r="C151" s="201">
        <f t="shared" si="53"/>
        <v>-5.4605023662179786E-4</v>
      </c>
      <c r="D151" s="360">
        <f>D129</f>
        <v>10988</v>
      </c>
      <c r="E151" s="360">
        <f>E129</f>
        <v>11524</v>
      </c>
      <c r="F151" s="201">
        <f t="shared" si="54"/>
        <v>3.5399820305480612E-2</v>
      </c>
      <c r="G151" s="360">
        <f>G129</f>
        <v>11130</v>
      </c>
      <c r="H151" s="201">
        <f t="shared" si="55"/>
        <v>5.2581804425950507E-2</v>
      </c>
      <c r="I151" s="360">
        <f>I129</f>
        <v>10574</v>
      </c>
      <c r="J151" s="201">
        <f t="shared" si="56"/>
        <v>2.5208454527826163E-2</v>
      </c>
      <c r="K151" s="294">
        <f>K129</f>
        <v>10314</v>
      </c>
      <c r="L151" s="208">
        <f t="shared" si="57"/>
        <v>-3.09298279528325E-3</v>
      </c>
      <c r="M151" s="294">
        <f>M129</f>
        <v>10346</v>
      </c>
    </row>
    <row r="152" spans="1:13" s="2" customFormat="1">
      <c r="A152" s="13" t="s">
        <v>107</v>
      </c>
      <c r="B152" s="359">
        <f>B130+B131+B132+B133+B134+B135+B136+B137+B138+B139</f>
        <v>20680</v>
      </c>
      <c r="C152" s="201">
        <f t="shared" si="53"/>
        <v>6.4333504889346305E-2</v>
      </c>
      <c r="D152" s="359">
        <f>D130+D131+D132+D133+D134+D135+D136+D137+D138+D139</f>
        <v>19430</v>
      </c>
      <c r="E152" s="359">
        <f>E130+E131+E132+E133+E134+E135+E136+E137+E138+E139</f>
        <v>20037</v>
      </c>
      <c r="F152" s="201">
        <f t="shared" si="54"/>
        <v>6.4778403656073902E-2</v>
      </c>
      <c r="G152" s="359">
        <f>G130+G131+G132+G133+G134+G135+G136+G137+G138+G139</f>
        <v>18818</v>
      </c>
      <c r="H152" s="201">
        <f t="shared" si="55"/>
        <v>5.921422942699528E-2</v>
      </c>
      <c r="I152" s="359">
        <f>I130+I131+I132+I133+I134+I135+I136+I137+I138+I139</f>
        <v>17766</v>
      </c>
      <c r="J152" s="201">
        <f t="shared" si="56"/>
        <v>2.8899056002779977E-2</v>
      </c>
      <c r="K152" s="333">
        <f>K130+K131+K132+K133+K134+K135+K136+K137+K138+K139</f>
        <v>17267</v>
      </c>
      <c r="L152" s="208">
        <f t="shared" si="57"/>
        <v>-6.9448463452748133E-4</v>
      </c>
      <c r="M152" s="333">
        <f>M130+M131+M132+M133+M134+M135+M136+M137+M138+M139</f>
        <v>17279</v>
      </c>
    </row>
    <row r="153" spans="1:13" s="2" customFormat="1">
      <c r="A153" s="13" t="s">
        <v>108</v>
      </c>
      <c r="B153" s="359">
        <f>B140+B141+B142+B143+B144+B145</f>
        <v>3829</v>
      </c>
      <c r="C153" s="201">
        <f t="shared" si="53"/>
        <v>-9.3143596377749382E-3</v>
      </c>
      <c r="D153" s="359">
        <f>D140+D141+D142+D143+D144+D145</f>
        <v>3865</v>
      </c>
      <c r="E153" s="359">
        <f>E140+E141+E142+E143+E144+E145</f>
        <v>3911</v>
      </c>
      <c r="F153" s="201">
        <f t="shared" si="54"/>
        <v>4.852546916890077E-2</v>
      </c>
      <c r="G153" s="359">
        <f>G140+G141+G142+G143+G144+G145</f>
        <v>3730</v>
      </c>
      <c r="H153" s="201">
        <f t="shared" si="55"/>
        <v>-4.87120632491711E-2</v>
      </c>
      <c r="I153" s="359">
        <f>I140+I141+I142+I143+I144+I145</f>
        <v>3921</v>
      </c>
      <c r="J153" s="201">
        <f t="shared" si="56"/>
        <v>-2.6805658972449686E-2</v>
      </c>
      <c r="K153" s="333">
        <f>K140+K141+K142+K143+K144+K145</f>
        <v>4029</v>
      </c>
      <c r="L153" s="208">
        <f t="shared" si="57"/>
        <v>-7.1872840359364254E-2</v>
      </c>
      <c r="M153" s="333">
        <f>M140+M141+M142+M143+M144+M145</f>
        <v>4341</v>
      </c>
    </row>
    <row r="154" spans="1:13">
      <c r="A154" s="13" t="s">
        <v>109</v>
      </c>
      <c r="B154" s="359">
        <f>B146+B147+B148+B149</f>
        <v>10693</v>
      </c>
      <c r="C154" s="201">
        <f t="shared" si="53"/>
        <v>-0.13710458360232403</v>
      </c>
      <c r="D154" s="359">
        <f>D146+D147+D148+D149</f>
        <v>12392</v>
      </c>
      <c r="E154" s="359">
        <f>E146+E147+E148+E149</f>
        <v>12315</v>
      </c>
      <c r="F154" s="201">
        <f t="shared" si="54"/>
        <v>1.0502994994666448E-2</v>
      </c>
      <c r="G154" s="359">
        <f>G146+G147+G148+G149</f>
        <v>12187</v>
      </c>
      <c r="H154" s="201">
        <f t="shared" si="55"/>
        <v>0.11541277686252971</v>
      </c>
      <c r="I154" s="359">
        <f>I146+I147+I148+I149</f>
        <v>10926</v>
      </c>
      <c r="J154" s="201">
        <f t="shared" si="56"/>
        <v>-4.0147588509180321E-2</v>
      </c>
      <c r="K154" s="333">
        <f>K146+K147+K148+K149</f>
        <v>11383</v>
      </c>
      <c r="L154" s="208">
        <f t="shared" si="57"/>
        <v>-7.8970790517032152E-2</v>
      </c>
      <c r="M154" s="333">
        <f>M146+M147+M148+M149</f>
        <v>12359</v>
      </c>
    </row>
    <row r="155" spans="1:13" s="2" customFormat="1">
      <c r="A155" s="2" t="s">
        <v>110</v>
      </c>
      <c r="B155" s="361">
        <f>SUM(B150:B154)</f>
        <v>74093</v>
      </c>
      <c r="C155" s="153">
        <f t="shared" si="53"/>
        <v>-3.3208069104099791E-2</v>
      </c>
      <c r="D155" s="361">
        <f>SUM(D150:D154)</f>
        <v>76638</v>
      </c>
      <c r="E155" s="361">
        <f>SUM(E150:E154)</f>
        <v>76919</v>
      </c>
      <c r="F155" s="153">
        <f t="shared" si="54"/>
        <v>1.9334746885767196E-2</v>
      </c>
      <c r="G155" s="361">
        <f>SUM(G150:G154)</f>
        <v>75460</v>
      </c>
      <c r="H155" s="153">
        <f t="shared" si="55"/>
        <v>3.5059804674640649E-2</v>
      </c>
      <c r="I155" s="361">
        <f>SUM(I150:I154)</f>
        <v>72904</v>
      </c>
      <c r="J155" s="153">
        <f t="shared" si="56"/>
        <v>1.4824816603794533E-2</v>
      </c>
      <c r="K155" s="332">
        <f>SUM(K150:K154)</f>
        <v>71839</v>
      </c>
      <c r="L155" s="207">
        <f t="shared" si="57"/>
        <v>-2.0132305803723605E-2</v>
      </c>
      <c r="M155" s="332">
        <f>SUM(M150:M154)</f>
        <v>73315</v>
      </c>
    </row>
    <row r="156" spans="1:13">
      <c r="B156" s="445"/>
      <c r="C156" s="423"/>
      <c r="D156" s="445"/>
      <c r="E156" s="362"/>
      <c r="F156" s="201"/>
      <c r="G156" s="362"/>
      <c r="H156" s="201"/>
      <c r="I156" s="362"/>
      <c r="J156" s="216"/>
      <c r="K156" s="20"/>
      <c r="L156" s="207"/>
      <c r="M156" s="20"/>
    </row>
    <row r="157" spans="1:13">
      <c r="A157" s="6" t="s">
        <v>111</v>
      </c>
      <c r="B157" s="206">
        <v>31900</v>
      </c>
      <c r="C157" s="201">
        <f t="shared" ref="C157" si="58">IF((+B157/D157)&lt;0,"n.m.",IF(B157&lt;0,(+B157/D157-1)*-1,(+B157/D157-1)))</f>
        <v>-2.2491879634736756E-2</v>
      </c>
      <c r="D157" s="206">
        <v>32634</v>
      </c>
      <c r="E157" s="206">
        <v>32480</v>
      </c>
      <c r="F157" s="201">
        <f t="shared" ref="F157" si="59">IF((+E157/G157)&lt;0,"n.m.",IF(E157&lt;0,(+E157/G157-1)*-1,(+E157/G157-1)))</f>
        <v>2.5835386267449856E-2</v>
      </c>
      <c r="G157" s="206">
        <v>31662</v>
      </c>
      <c r="H157" s="201">
        <f t="shared" si="55"/>
        <v>3.5924617196702036E-2</v>
      </c>
      <c r="I157" s="363">
        <v>30564</v>
      </c>
      <c r="J157" s="201">
        <f t="shared" si="56"/>
        <v>7.4003795066413636E-2</v>
      </c>
      <c r="K157" s="206">
        <v>28458</v>
      </c>
      <c r="L157" s="208">
        <f>IF((+K157/M157)&lt;0,"n.m.",IF(K157&lt;0,(+K157/M157-1)*-1,(+K157/M157-1)))</f>
        <v>-3.2922387223311977E-3</v>
      </c>
      <c r="M157" s="206">
        <v>28552</v>
      </c>
    </row>
    <row r="158" spans="1:13">
      <c r="A158" s="489" t="s">
        <v>112</v>
      </c>
      <c r="B158" s="490">
        <v>42193</v>
      </c>
      <c r="C158" s="491">
        <f>IF((+B158/D158)&lt;0,"n.m.",IF(B158&lt;0,(+B158/D158-1)*-1,(+B158/D158-1)))</f>
        <v>-4.1155349513680606E-2</v>
      </c>
      <c r="D158" s="490">
        <v>44004</v>
      </c>
      <c r="E158" s="490">
        <v>44439</v>
      </c>
      <c r="F158" s="491">
        <f>IF((+E158/G158)&lt;0,"n.m.",IF(E158&lt;0,(+E158/G158-1)*-1,(+E158/G158-1)))</f>
        <v>1.463537147814975E-2</v>
      </c>
      <c r="G158" s="490">
        <v>43798</v>
      </c>
      <c r="H158" s="491">
        <f>IF((+G158/I158)&lt;0,"n.m.",IF(G158&lt;0,(+G158/I158-1)*-1,(+G158/I158-1)))</f>
        <v>3.4435521965044957E-2</v>
      </c>
      <c r="I158" s="146">
        <v>42340</v>
      </c>
      <c r="J158" s="491">
        <f t="shared" si="56"/>
        <v>-2.399668057444504E-2</v>
      </c>
      <c r="K158" s="490">
        <v>43381</v>
      </c>
      <c r="L158" s="208">
        <f>IF((+K158/M158)&lt;0,"n.m.",IF(K158&lt;0,(+K158/M158-1)*-1,(+K158/M158-1)))</f>
        <v>-3.087371266447736E-2</v>
      </c>
      <c r="M158" s="490">
        <v>44763</v>
      </c>
    </row>
    <row r="159" spans="1:13">
      <c r="A159" s="380"/>
      <c r="B159" s="492"/>
      <c r="C159" s="446"/>
      <c r="D159" s="492"/>
      <c r="E159" s="493"/>
      <c r="F159" s="404"/>
      <c r="G159" s="493"/>
      <c r="H159" s="404"/>
      <c r="I159" s="493"/>
      <c r="J159" s="494"/>
      <c r="K159" s="494"/>
      <c r="L159" s="494"/>
      <c r="M159" s="494"/>
    </row>
    <row r="160" spans="1:13" s="2" customFormat="1">
      <c r="A160" s="2" t="s">
        <v>1</v>
      </c>
      <c r="B160" s="447"/>
      <c r="C160" s="447"/>
      <c r="D160" s="447"/>
      <c r="E160" s="364"/>
      <c r="F160" s="364"/>
      <c r="G160" s="364"/>
      <c r="H160" s="364"/>
      <c r="I160" s="365"/>
      <c r="J160" s="10"/>
      <c r="K160" s="331"/>
      <c r="L160" s="331"/>
      <c r="M160" s="331"/>
    </row>
    <row r="161" spans="1:13" s="2" customFormat="1">
      <c r="A161" s="6" t="s">
        <v>86</v>
      </c>
      <c r="B161" s="357">
        <v>3306.0399999999995</v>
      </c>
      <c r="C161" s="201">
        <f>IF((+B161/D161)&lt;0,"n.m.",IF(B161&lt;0,(+B161/D161-1)*-1,(+B161/D161-1)))</f>
        <v>-8.2705348323585337E-2</v>
      </c>
      <c r="D161" s="357">
        <v>3604.12</v>
      </c>
      <c r="E161" s="357">
        <v>7818.59</v>
      </c>
      <c r="F161" s="201">
        <f>IF((+E161/G161)&lt;0,"n.m.",IF(E161&lt;0,(+E161/G161-1)*-1,(+E161/G161-1)))</f>
        <v>-7.3711539804358628E-3</v>
      </c>
      <c r="G161" s="357">
        <v>7876.6500000000005</v>
      </c>
      <c r="H161" s="201">
        <f>IF((+G161/I161)&lt;0,"n.m.",IF(G161&lt;0,(+G161/I161-1)*-1,(+G161/I161-1)))</f>
        <v>0.13176275175548136</v>
      </c>
      <c r="I161" s="357">
        <v>6959.63</v>
      </c>
      <c r="J161" s="201">
        <f t="shared" ref="J161:J218" si="60">IF((+I161/K161)&lt;0,"n.m.",IF(I161&lt;0,(+I161/K161-1)*-1,(+I161/K161-1)))</f>
        <v>0.10999768738187732</v>
      </c>
      <c r="K161" s="210">
        <v>6269.9499999999989</v>
      </c>
      <c r="L161" s="208">
        <f t="shared" ref="L161:L188" si="61">IF((+K161/M161)&lt;0,"n.m.",IF(K161&lt;0,(+K161/M161-1)*-1,(+K161/M161-1)))</f>
        <v>2.2122373167989817E-3</v>
      </c>
      <c r="M161" s="210">
        <v>6256.11</v>
      </c>
    </row>
    <row r="162" spans="1:13" s="2" customFormat="1">
      <c r="A162" s="6" t="s">
        <v>87</v>
      </c>
      <c r="B162" s="354">
        <v>1003.22</v>
      </c>
      <c r="C162" s="201">
        <f t="shared" ref="C162:C175" si="62">IF((+B162/D162)&lt;0,"n.m.",IF(B162&lt;0,(+B162/D162-1)*-1,(+B162/D162-1)))</f>
        <v>-0.15593659554418782</v>
      </c>
      <c r="D162" s="354">
        <v>1188.56</v>
      </c>
      <c r="E162" s="354">
        <v>2678.66</v>
      </c>
      <c r="F162" s="201">
        <f t="shared" ref="F162:F188" si="63">IF((+E162/G162)&lt;0,"n.m.",IF(E162&lt;0,(+E162/G162-1)*-1,(+E162/G162-1)))</f>
        <v>5.3968129057643255E-2</v>
      </c>
      <c r="G162" s="354">
        <v>2541.4999999999995</v>
      </c>
      <c r="H162" s="201">
        <f t="shared" ref="H162:H218" si="64">IF((+G162/I162)&lt;0,"n.m.",IF(G162&lt;0,(+G162/I162-1)*-1,(+G162/I162-1)))</f>
        <v>8.922050983148444E-2</v>
      </c>
      <c r="I162" s="354">
        <v>2333.3200000000002</v>
      </c>
      <c r="J162" s="201">
        <f t="shared" si="60"/>
        <v>0.11183539659395203</v>
      </c>
      <c r="K162" s="210">
        <v>2098.6200000000003</v>
      </c>
      <c r="L162" s="208">
        <f t="shared" si="61"/>
        <v>4.7748854207231295E-2</v>
      </c>
      <c r="M162" s="210">
        <v>2002.98</v>
      </c>
    </row>
    <row r="163" spans="1:13" s="2" customFormat="1">
      <c r="A163" s="9" t="s">
        <v>88</v>
      </c>
      <c r="B163" s="354">
        <v>495.53</v>
      </c>
      <c r="C163" s="201">
        <f t="shared" si="62"/>
        <v>0.16936473475552183</v>
      </c>
      <c r="D163" s="354">
        <v>423.76000000000005</v>
      </c>
      <c r="E163" s="354">
        <v>1129.22</v>
      </c>
      <c r="F163" s="201">
        <f t="shared" si="63"/>
        <v>0.15775875326805755</v>
      </c>
      <c r="G163" s="354">
        <v>975.35</v>
      </c>
      <c r="H163" s="201">
        <f t="shared" si="64"/>
        <v>0.14982434630891484</v>
      </c>
      <c r="I163" s="354">
        <v>848.25999999999988</v>
      </c>
      <c r="J163" s="201">
        <f t="shared" si="60"/>
        <v>9.6311422441647032E-2</v>
      </c>
      <c r="K163" s="210">
        <v>773.7399999999999</v>
      </c>
      <c r="L163" s="208">
        <f t="shared" si="61"/>
        <v>-0.17753731025979003</v>
      </c>
      <c r="M163" s="210">
        <v>940.76</v>
      </c>
    </row>
    <row r="164" spans="1:13" s="2" customFormat="1">
      <c r="A164" s="9" t="s">
        <v>89</v>
      </c>
      <c r="B164" s="354">
        <v>314.83</v>
      </c>
      <c r="C164" s="201">
        <f t="shared" si="62"/>
        <v>0.12210856470755926</v>
      </c>
      <c r="D164" s="354">
        <v>280.57000000000005</v>
      </c>
      <c r="E164" s="354">
        <v>782.78</v>
      </c>
      <c r="F164" s="201">
        <f t="shared" si="63"/>
        <v>0.10806296359209555</v>
      </c>
      <c r="G164" s="354">
        <v>706.44</v>
      </c>
      <c r="H164" s="201">
        <f t="shared" si="64"/>
        <v>0.12356262425447317</v>
      </c>
      <c r="I164" s="354">
        <v>628.75</v>
      </c>
      <c r="J164" s="201">
        <f t="shared" si="60"/>
        <v>-2.8704643491500592E-3</v>
      </c>
      <c r="K164" s="210">
        <v>630.56000000000006</v>
      </c>
      <c r="L164" s="208">
        <f t="shared" si="61"/>
        <v>-0.17530735024849586</v>
      </c>
      <c r="M164" s="210">
        <v>764.6</v>
      </c>
    </row>
    <row r="165" spans="1:13">
      <c r="A165" s="9" t="s">
        <v>90</v>
      </c>
      <c r="B165" s="354">
        <v>322.30999999999995</v>
      </c>
      <c r="C165" s="201">
        <f t="shared" si="62"/>
        <v>-0.11138375010338863</v>
      </c>
      <c r="D165" s="354">
        <v>362.71000000000004</v>
      </c>
      <c r="E165" s="354">
        <v>847.82</v>
      </c>
      <c r="F165" s="201">
        <f t="shared" si="63"/>
        <v>0.18760593368726286</v>
      </c>
      <c r="G165" s="354">
        <v>713.89</v>
      </c>
      <c r="H165" s="201">
        <f t="shared" si="64"/>
        <v>0.29541454208931373</v>
      </c>
      <c r="I165" s="354">
        <v>551.09</v>
      </c>
      <c r="J165" s="201">
        <f t="shared" si="60"/>
        <v>0.22978220119610815</v>
      </c>
      <c r="K165" s="210">
        <v>448.12</v>
      </c>
      <c r="L165" s="208">
        <f t="shared" si="61"/>
        <v>-0.24591929458486184</v>
      </c>
      <c r="M165" s="210">
        <v>594.26</v>
      </c>
    </row>
    <row r="166" spans="1:13">
      <c r="A166" s="9" t="s">
        <v>132</v>
      </c>
      <c r="B166" s="354">
        <v>28.220000000000002</v>
      </c>
      <c r="C166" s="201">
        <f t="shared" si="62"/>
        <v>-0.28701364325416867</v>
      </c>
      <c r="D166" s="354">
        <v>39.58</v>
      </c>
      <c r="E166" s="354">
        <v>71.419999999999987</v>
      </c>
      <c r="F166" s="201">
        <f t="shared" si="63"/>
        <v>-7.7975729408727323E-2</v>
      </c>
      <c r="G166" s="354">
        <v>77.460000000000008</v>
      </c>
      <c r="H166" s="201">
        <f t="shared" si="64"/>
        <v>-0.45873803368038568</v>
      </c>
      <c r="I166" s="354">
        <v>143.11000000000001</v>
      </c>
      <c r="J166" s="201">
        <f t="shared" si="60"/>
        <v>3.0606366124153794E-2</v>
      </c>
      <c r="K166" s="210">
        <v>138.86000000000001</v>
      </c>
      <c r="L166" s="208">
        <f t="shared" si="61"/>
        <v>-0.39728286818004244</v>
      </c>
      <c r="M166" s="210">
        <v>230.39</v>
      </c>
    </row>
    <row r="167" spans="1:13">
      <c r="A167" s="9" t="s">
        <v>91</v>
      </c>
      <c r="B167" s="354">
        <v>128.65</v>
      </c>
      <c r="C167" s="201">
        <f t="shared" si="62"/>
        <v>-0.25212184629694223</v>
      </c>
      <c r="D167" s="354">
        <v>172.02</v>
      </c>
      <c r="E167" s="354">
        <v>369.03999999999996</v>
      </c>
      <c r="F167" s="201">
        <f t="shared" si="63"/>
        <v>-0.28270714688332144</v>
      </c>
      <c r="G167" s="354">
        <v>514.49</v>
      </c>
      <c r="H167" s="201">
        <f t="shared" si="64"/>
        <v>-2.531022070664013E-2</v>
      </c>
      <c r="I167" s="354">
        <v>527.85</v>
      </c>
      <c r="J167" s="201">
        <f t="shared" si="60"/>
        <v>0.14461358313817319</v>
      </c>
      <c r="K167" s="210">
        <v>461.16</v>
      </c>
      <c r="L167" s="208">
        <f t="shared" si="61"/>
        <v>-0.35622748973950913</v>
      </c>
      <c r="M167" s="210">
        <v>716.34</v>
      </c>
    </row>
    <row r="168" spans="1:13">
      <c r="A168" s="9" t="s">
        <v>92</v>
      </c>
      <c r="B168" s="354">
        <v>85.85</v>
      </c>
      <c r="C168" s="201">
        <f t="shared" si="62"/>
        <v>6.6459627329192195E-2</v>
      </c>
      <c r="D168" s="354">
        <v>80.500000000000014</v>
      </c>
      <c r="E168" s="354">
        <v>225.5</v>
      </c>
      <c r="F168" s="201">
        <f t="shared" si="63"/>
        <v>0.14252419313978804</v>
      </c>
      <c r="G168" s="354">
        <v>197.37000000000003</v>
      </c>
      <c r="H168" s="201">
        <f t="shared" si="64"/>
        <v>7.9645533614135067E-2</v>
      </c>
      <c r="I168" s="354">
        <v>182.81</v>
      </c>
      <c r="J168" s="201">
        <f t="shared" si="60"/>
        <v>-0.27945291868668953</v>
      </c>
      <c r="K168" s="210">
        <v>253.71</v>
      </c>
      <c r="L168" s="208">
        <f t="shared" si="61"/>
        <v>5.1734858848402121E-2</v>
      </c>
      <c r="M168" s="210">
        <v>241.23</v>
      </c>
    </row>
    <row r="169" spans="1:13">
      <c r="A169" s="9" t="s">
        <v>93</v>
      </c>
      <c r="B169" s="354">
        <v>75.900000000000006</v>
      </c>
      <c r="C169" s="201">
        <f t="shared" si="62"/>
        <v>2.1946950316413139E-2</v>
      </c>
      <c r="D169" s="354">
        <v>74.27</v>
      </c>
      <c r="E169" s="354">
        <v>152.48000000000002</v>
      </c>
      <c r="F169" s="201">
        <f t="shared" si="63"/>
        <v>-6.3448191143050114E-2</v>
      </c>
      <c r="G169" s="354">
        <v>162.81</v>
      </c>
      <c r="H169" s="201">
        <f t="shared" si="64"/>
        <v>0.35629790069976663</v>
      </c>
      <c r="I169" s="354">
        <v>120.04</v>
      </c>
      <c r="J169" s="201">
        <f t="shared" si="60"/>
        <v>0.537594466504419</v>
      </c>
      <c r="K169" s="210">
        <v>78.070000000000007</v>
      </c>
      <c r="L169" s="208">
        <f t="shared" si="61"/>
        <v>0.14741328630217509</v>
      </c>
      <c r="M169" s="210">
        <v>68.040000000000006</v>
      </c>
    </row>
    <row r="170" spans="1:13">
      <c r="A170" s="9" t="s">
        <v>94</v>
      </c>
      <c r="B170" s="354">
        <v>15.96</v>
      </c>
      <c r="C170" s="201">
        <f t="shared" si="62"/>
        <v>-0.28877005347593587</v>
      </c>
      <c r="D170" s="354">
        <v>22.44</v>
      </c>
      <c r="E170" s="354">
        <v>48.71</v>
      </c>
      <c r="F170" s="201">
        <f t="shared" si="63"/>
        <v>-0.28724026924202517</v>
      </c>
      <c r="G170" s="354">
        <v>68.34</v>
      </c>
      <c r="H170" s="201">
        <f t="shared" si="64"/>
        <v>0.28700564971751419</v>
      </c>
      <c r="I170" s="354">
        <v>53.1</v>
      </c>
      <c r="J170" s="201">
        <f t="shared" si="60"/>
        <v>-0.18483266809947807</v>
      </c>
      <c r="K170" s="210">
        <v>65.14</v>
      </c>
      <c r="L170" s="208">
        <f t="shared" si="61"/>
        <v>-0.33814265393212761</v>
      </c>
      <c r="M170" s="210">
        <v>98.42</v>
      </c>
    </row>
    <row r="171" spans="1:13">
      <c r="A171" s="9" t="s">
        <v>95</v>
      </c>
      <c r="B171" s="354">
        <v>68.790000000000006</v>
      </c>
      <c r="C171" s="201">
        <f t="shared" si="62"/>
        <v>0.27200443786982254</v>
      </c>
      <c r="D171" s="354">
        <v>54.08</v>
      </c>
      <c r="E171" s="354">
        <v>148.11000000000001</v>
      </c>
      <c r="F171" s="201">
        <f t="shared" si="63"/>
        <v>0.33396379356930561</v>
      </c>
      <c r="G171" s="354">
        <v>111.03</v>
      </c>
      <c r="H171" s="201">
        <f t="shared" si="64"/>
        <v>-1.612760301284899E-2</v>
      </c>
      <c r="I171" s="354">
        <v>112.85000000000001</v>
      </c>
      <c r="J171" s="201">
        <f t="shared" si="60"/>
        <v>0.26400089605734767</v>
      </c>
      <c r="K171" s="210">
        <v>89.28</v>
      </c>
      <c r="L171" s="208">
        <f t="shared" si="61"/>
        <v>0.93163132842925145</v>
      </c>
      <c r="M171" s="210">
        <v>46.22</v>
      </c>
    </row>
    <row r="172" spans="1:13">
      <c r="A172" s="9" t="s">
        <v>96</v>
      </c>
      <c r="B172" s="354">
        <v>22.12</v>
      </c>
      <c r="C172" s="201">
        <f t="shared" si="62"/>
        <v>0.24130190796857476</v>
      </c>
      <c r="D172" s="354">
        <v>17.82</v>
      </c>
      <c r="E172" s="354">
        <v>41.86</v>
      </c>
      <c r="F172" s="201">
        <f t="shared" si="63"/>
        <v>-5.7007125890735644E-3</v>
      </c>
      <c r="G172" s="354">
        <v>42.099999999999994</v>
      </c>
      <c r="H172" s="201">
        <f t="shared" si="64"/>
        <v>-6.7965463803409509E-2</v>
      </c>
      <c r="I172" s="354">
        <v>45.17</v>
      </c>
      <c r="J172" s="201">
        <f t="shared" si="60"/>
        <v>0.67918215613382937</v>
      </c>
      <c r="K172" s="210">
        <v>26.899999999999995</v>
      </c>
      <c r="L172" s="208">
        <f t="shared" si="61"/>
        <v>-0.23601249644987232</v>
      </c>
      <c r="M172" s="210">
        <v>35.21</v>
      </c>
    </row>
    <row r="173" spans="1:13">
      <c r="A173" s="9" t="s">
        <v>97</v>
      </c>
      <c r="B173" s="354">
        <v>106.67</v>
      </c>
      <c r="C173" s="201">
        <f t="shared" si="62"/>
        <v>3.4827318587504985E-2</v>
      </c>
      <c r="D173" s="354">
        <v>103.08</v>
      </c>
      <c r="E173" s="354">
        <v>231.95</v>
      </c>
      <c r="F173" s="201">
        <f t="shared" si="63"/>
        <v>-0.15101936239522729</v>
      </c>
      <c r="G173" s="354">
        <v>273.21000000000004</v>
      </c>
      <c r="H173" s="201">
        <f t="shared" si="64"/>
        <v>-0.147071678321678</v>
      </c>
      <c r="I173" s="354">
        <v>320.31999999999994</v>
      </c>
      <c r="J173" s="201">
        <f t="shared" si="60"/>
        <v>-0.15335412591848618</v>
      </c>
      <c r="K173" s="210">
        <v>378.34</v>
      </c>
      <c r="L173" s="208">
        <f t="shared" si="61"/>
        <v>0.10396545183974792</v>
      </c>
      <c r="M173" s="210">
        <v>342.71</v>
      </c>
    </row>
    <row r="174" spans="1:13">
      <c r="A174" s="6" t="s">
        <v>98</v>
      </c>
      <c r="B174" s="355">
        <v>130.65</v>
      </c>
      <c r="C174" s="201">
        <f t="shared" si="62"/>
        <v>-0.2088051837945859</v>
      </c>
      <c r="D174" s="355">
        <v>165.12999999999997</v>
      </c>
      <c r="E174" s="355">
        <v>317.74</v>
      </c>
      <c r="F174" s="201">
        <f t="shared" si="63"/>
        <v>-9.413844223970802E-2</v>
      </c>
      <c r="G174" s="355">
        <v>350.76</v>
      </c>
      <c r="H174" s="201">
        <f t="shared" si="64"/>
        <v>0.19111654441727777</v>
      </c>
      <c r="I174" s="355">
        <v>294.48</v>
      </c>
      <c r="J174" s="201">
        <f t="shared" si="60"/>
        <v>-4.6774350176415291E-2</v>
      </c>
      <c r="K174" s="334">
        <v>308.93</v>
      </c>
      <c r="L174" s="208">
        <f t="shared" si="61"/>
        <v>2.4066032419531203E-2</v>
      </c>
      <c r="M174" s="334">
        <v>301.67</v>
      </c>
    </row>
    <row r="175" spans="1:13">
      <c r="A175" s="6" t="s">
        <v>99</v>
      </c>
      <c r="B175" s="354">
        <v>83.51</v>
      </c>
      <c r="C175" s="201">
        <f t="shared" si="62"/>
        <v>-0.11732375013212126</v>
      </c>
      <c r="D175" s="354">
        <v>94.61</v>
      </c>
      <c r="E175" s="354">
        <v>205.27</v>
      </c>
      <c r="F175" s="201">
        <f t="shared" si="63"/>
        <v>0.15100370079623193</v>
      </c>
      <c r="G175" s="354">
        <v>178.34</v>
      </c>
      <c r="H175" s="201">
        <f t="shared" si="64"/>
        <v>0.1010680990306847</v>
      </c>
      <c r="I175" s="354">
        <v>161.97</v>
      </c>
      <c r="J175" s="201">
        <f t="shared" si="60"/>
        <v>-9.5493382476126598E-2</v>
      </c>
      <c r="K175" s="210">
        <v>179.07</v>
      </c>
      <c r="L175" s="208">
        <f t="shared" si="61"/>
        <v>-0.25294117647058822</v>
      </c>
      <c r="M175" s="210">
        <v>239.7</v>
      </c>
    </row>
    <row r="176" spans="1:13" s="2" customFormat="1">
      <c r="A176" s="6" t="s">
        <v>100</v>
      </c>
      <c r="B176" s="354">
        <v>25.899999999999995</v>
      </c>
      <c r="C176" s="201">
        <f>IF((+B176/D176)&lt;0,"n.m.",IF(B176&lt;0,(+B176/D176-1)*-1,(+B176/D176-1)))</f>
        <v>-0.34678436317780603</v>
      </c>
      <c r="D176" s="354">
        <v>39.650000000000006</v>
      </c>
      <c r="E176" s="354">
        <v>-5.7799999999999994</v>
      </c>
      <c r="F176" s="201" t="str">
        <f>IF((+E176/G176)&lt;0,"n.m.",IF(E176&lt;0,(+E176/G176-1)*-1,(+E176/G176-1)))</f>
        <v>n.m.</v>
      </c>
      <c r="G176" s="354">
        <v>74.239999999999995</v>
      </c>
      <c r="H176" s="201">
        <f t="shared" si="64"/>
        <v>0.1153846153846152</v>
      </c>
      <c r="I176" s="354">
        <v>66.56</v>
      </c>
      <c r="J176" s="201">
        <f t="shared" si="60"/>
        <v>-0.18441367479475568</v>
      </c>
      <c r="K176" s="210">
        <v>81.610000000000014</v>
      </c>
      <c r="L176" s="208">
        <f t="shared" si="61"/>
        <v>-0.5654419595314164</v>
      </c>
      <c r="M176" s="210">
        <v>187.8</v>
      </c>
    </row>
    <row r="177" spans="1:13">
      <c r="A177" s="6" t="s">
        <v>101</v>
      </c>
      <c r="B177" s="354">
        <v>35.830000000000005</v>
      </c>
      <c r="C177" s="201">
        <f t="shared" ref="C177:C188" si="65">IF((+B177/D177)&lt;0,"n.m.",IF(B177&lt;0,(+B177/D177-1)*-1,(+B177/D177-1)))</f>
        <v>-0.28454472843450473</v>
      </c>
      <c r="D177" s="354">
        <v>50.080000000000005</v>
      </c>
      <c r="E177" s="354">
        <v>99.490000000000009</v>
      </c>
      <c r="F177" s="201">
        <f t="shared" si="63"/>
        <v>8.4832624577472426E-2</v>
      </c>
      <c r="G177" s="354">
        <v>91.710000000000008</v>
      </c>
      <c r="H177" s="201">
        <f t="shared" si="64"/>
        <v>-0.42483537158983997</v>
      </c>
      <c r="I177" s="354">
        <v>159.44999999999999</v>
      </c>
      <c r="J177" s="201">
        <f t="shared" si="60"/>
        <v>-0.31972353769358774</v>
      </c>
      <c r="K177" s="210">
        <v>234.39000000000001</v>
      </c>
      <c r="L177" s="208">
        <f t="shared" si="61"/>
        <v>6.8907333090113099E-2</v>
      </c>
      <c r="M177" s="210">
        <v>219.28</v>
      </c>
    </row>
    <row r="178" spans="1:13">
      <c r="A178" s="6" t="s">
        <v>102</v>
      </c>
      <c r="B178" s="354">
        <v>124.03</v>
      </c>
      <c r="C178" s="201">
        <f t="shared" si="65"/>
        <v>-0.3366670232110387</v>
      </c>
      <c r="D178" s="354">
        <v>186.98000000000002</v>
      </c>
      <c r="E178" s="354">
        <v>348.57</v>
      </c>
      <c r="F178" s="201">
        <f t="shared" si="63"/>
        <v>0.26646804490789533</v>
      </c>
      <c r="G178" s="354">
        <v>275.22999999999996</v>
      </c>
      <c r="H178" s="201">
        <f t="shared" si="64"/>
        <v>-6.9276565036986426E-3</v>
      </c>
      <c r="I178" s="354">
        <v>277.15000000000003</v>
      </c>
      <c r="J178" s="201">
        <f t="shared" si="60"/>
        <v>0.84189539443078387</v>
      </c>
      <c r="K178" s="210">
        <v>150.47</v>
      </c>
      <c r="L178" s="208">
        <f t="shared" si="61"/>
        <v>-0.1014034040011943</v>
      </c>
      <c r="M178" s="210">
        <v>167.45</v>
      </c>
    </row>
    <row r="179" spans="1:13">
      <c r="A179" s="6" t="s">
        <v>103</v>
      </c>
      <c r="B179" s="354">
        <v>55.53</v>
      </c>
      <c r="C179" s="201">
        <f t="shared" si="65"/>
        <v>-0.24918875067604118</v>
      </c>
      <c r="D179" s="354">
        <v>73.960000000000008</v>
      </c>
      <c r="E179" s="354">
        <v>147.95999999999998</v>
      </c>
      <c r="F179" s="201">
        <f t="shared" si="63"/>
        <v>-0.28063010501750296</v>
      </c>
      <c r="G179" s="354">
        <v>205.67999999999998</v>
      </c>
      <c r="H179" s="201">
        <f t="shared" si="64"/>
        <v>-0.32035819317318182</v>
      </c>
      <c r="I179" s="354">
        <v>302.63</v>
      </c>
      <c r="J179" s="201">
        <f t="shared" si="60"/>
        <v>0.13493343333958374</v>
      </c>
      <c r="K179" s="210">
        <v>266.64999999999998</v>
      </c>
      <c r="L179" s="208">
        <f t="shared" si="61"/>
        <v>-0.1521193042704061</v>
      </c>
      <c r="M179" s="210">
        <v>314.49</v>
      </c>
    </row>
    <row r="180" spans="1:13">
      <c r="A180" s="6" t="s">
        <v>104</v>
      </c>
      <c r="B180" s="354">
        <v>220.9</v>
      </c>
      <c r="C180" s="201">
        <f t="shared" si="65"/>
        <v>-0.39384792689954173</v>
      </c>
      <c r="D180" s="354">
        <v>364.43</v>
      </c>
      <c r="E180" s="354">
        <v>713.51</v>
      </c>
      <c r="F180" s="201">
        <f t="shared" si="63"/>
        <v>6.9698060028185127E-2</v>
      </c>
      <c r="G180" s="354">
        <v>667.02</v>
      </c>
      <c r="H180" s="201">
        <f t="shared" si="64"/>
        <v>0.73045192756706268</v>
      </c>
      <c r="I180" s="354">
        <v>385.46</v>
      </c>
      <c r="J180" s="201">
        <f t="shared" si="60"/>
        <v>0.10653078800057392</v>
      </c>
      <c r="K180" s="210">
        <v>348.35</v>
      </c>
      <c r="L180" s="208">
        <f t="shared" si="61"/>
        <v>0.12396347562352794</v>
      </c>
      <c r="M180" s="210">
        <v>309.93</v>
      </c>
    </row>
    <row r="181" spans="1:13">
      <c r="A181" s="6" t="s">
        <v>105</v>
      </c>
      <c r="B181" s="356">
        <v>26.139999999999997</v>
      </c>
      <c r="C181" s="201">
        <f t="shared" si="65"/>
        <v>-0.25335618394744364</v>
      </c>
      <c r="D181" s="356">
        <v>35.01</v>
      </c>
      <c r="E181" s="356">
        <v>66.010000000000005</v>
      </c>
      <c r="F181" s="201">
        <f t="shared" si="63"/>
        <v>0.15543497286889552</v>
      </c>
      <c r="G181" s="356">
        <v>57.13</v>
      </c>
      <c r="H181" s="201">
        <f t="shared" si="64"/>
        <v>0.19920235096557493</v>
      </c>
      <c r="I181" s="356">
        <v>47.640000000000008</v>
      </c>
      <c r="J181" s="201">
        <f t="shared" si="60"/>
        <v>-0.38938733658036384</v>
      </c>
      <c r="K181" s="211">
        <v>78.02</v>
      </c>
      <c r="L181" s="208">
        <f t="shared" si="61"/>
        <v>-0.35183185179031329</v>
      </c>
      <c r="M181" s="211">
        <v>120.37</v>
      </c>
    </row>
    <row r="182" spans="1:13">
      <c r="A182" s="6" t="s">
        <v>106</v>
      </c>
      <c r="B182" s="356">
        <v>43.5</v>
      </c>
      <c r="C182" s="201">
        <f t="shared" si="65"/>
        <v>-0.40920820317805251</v>
      </c>
      <c r="D182" s="356">
        <v>73.63000000000001</v>
      </c>
      <c r="E182" s="356">
        <v>179.06</v>
      </c>
      <c r="F182" s="201">
        <f t="shared" si="63"/>
        <v>0.1044223771047923</v>
      </c>
      <c r="G182" s="356">
        <v>162.13000000000002</v>
      </c>
      <c r="H182" s="201">
        <f t="shared" si="64"/>
        <v>0.63355163727959729</v>
      </c>
      <c r="I182" s="356">
        <v>99.25</v>
      </c>
      <c r="J182" s="201">
        <f t="shared" si="60"/>
        <v>-0.24288656648104356</v>
      </c>
      <c r="K182" s="211">
        <v>131.09</v>
      </c>
      <c r="L182" s="208">
        <f t="shared" si="61"/>
        <v>0.42799564270152524</v>
      </c>
      <c r="M182" s="211">
        <v>91.8</v>
      </c>
    </row>
    <row r="183" spans="1:13">
      <c r="A183" s="139" t="s">
        <v>86</v>
      </c>
      <c r="B183" s="366">
        <f>B161</f>
        <v>3306.0399999999995</v>
      </c>
      <c r="C183" s="201">
        <f t="shared" si="65"/>
        <v>-8.2705348323585337E-2</v>
      </c>
      <c r="D183" s="366">
        <f>D161</f>
        <v>3604.12</v>
      </c>
      <c r="E183" s="366">
        <f>E161</f>
        <v>7818.59</v>
      </c>
      <c r="F183" s="201">
        <f t="shared" si="63"/>
        <v>-7.3711539804358628E-3</v>
      </c>
      <c r="G183" s="366">
        <f>G161</f>
        <v>7876.6500000000005</v>
      </c>
      <c r="H183" s="201">
        <f t="shared" si="64"/>
        <v>0.13176275175548136</v>
      </c>
      <c r="I183" s="366">
        <f>I161</f>
        <v>6959.63</v>
      </c>
      <c r="J183" s="201">
        <f t="shared" si="60"/>
        <v>0.10999768738187732</v>
      </c>
      <c r="K183" s="336">
        <f>K161</f>
        <v>6269.9499999999989</v>
      </c>
      <c r="L183" s="208">
        <f t="shared" si="61"/>
        <v>2.2122373167989817E-3</v>
      </c>
      <c r="M183" s="336">
        <f>M161</f>
        <v>6256.11</v>
      </c>
    </row>
    <row r="184" spans="1:13">
      <c r="A184" s="139" t="s">
        <v>87</v>
      </c>
      <c r="B184" s="366">
        <f>B162</f>
        <v>1003.22</v>
      </c>
      <c r="C184" s="201">
        <f t="shared" si="65"/>
        <v>-0.15593659554418782</v>
      </c>
      <c r="D184" s="366">
        <f>D162</f>
        <v>1188.56</v>
      </c>
      <c r="E184" s="366">
        <f>E162</f>
        <v>2678.66</v>
      </c>
      <c r="F184" s="201">
        <f t="shared" si="63"/>
        <v>5.3968129057643255E-2</v>
      </c>
      <c r="G184" s="366">
        <f>G162</f>
        <v>2541.4999999999995</v>
      </c>
      <c r="H184" s="201">
        <f t="shared" si="64"/>
        <v>8.922050983148444E-2</v>
      </c>
      <c r="I184" s="366">
        <f>I162</f>
        <v>2333.3200000000002</v>
      </c>
      <c r="J184" s="201">
        <f t="shared" si="60"/>
        <v>0.11183539659395203</v>
      </c>
      <c r="K184" s="336">
        <f>K162</f>
        <v>2098.6200000000003</v>
      </c>
      <c r="L184" s="208">
        <f t="shared" si="61"/>
        <v>4.7748854207231295E-2</v>
      </c>
      <c r="M184" s="336">
        <f>M162</f>
        <v>2002.98</v>
      </c>
    </row>
    <row r="185" spans="1:13" s="2" customFormat="1">
      <c r="A185" s="139" t="s">
        <v>107</v>
      </c>
      <c r="B185" s="355">
        <f>B163+B164+B165+B166+B167+B168+B169+B170+B171+B172</f>
        <v>1558.1599999999999</v>
      </c>
      <c r="C185" s="201">
        <f t="shared" si="65"/>
        <v>1.9905089183439584E-2</v>
      </c>
      <c r="D185" s="355">
        <f>D163+D164+D165+D166+D167+D168+D169+D170+D171+D172</f>
        <v>1527.75</v>
      </c>
      <c r="E185" s="355">
        <f>E163+E164+E165+E166+E167+E168+E169+E170+E171+E172</f>
        <v>3816.9400000000005</v>
      </c>
      <c r="F185" s="201">
        <f t="shared" si="63"/>
        <v>6.9386542944235297E-2</v>
      </c>
      <c r="G185" s="355">
        <f>G163+G164+G165+G166+G167+G168+G169+G170+G171+G172</f>
        <v>3569.28</v>
      </c>
      <c r="H185" s="201">
        <f t="shared" si="64"/>
        <v>0.11087664914426587</v>
      </c>
      <c r="I185" s="355">
        <f>I163+I164+I165+I166+I167+I168+I169+I170+I171+I172</f>
        <v>3213.0299999999997</v>
      </c>
      <c r="J185" s="201">
        <f t="shared" si="60"/>
        <v>8.3455289761729556E-2</v>
      </c>
      <c r="K185" s="337">
        <f>K163+K164+K165+K166+K167+K168+K169+K170+K171+K172</f>
        <v>2965.5400000000004</v>
      </c>
      <c r="L185" s="208">
        <f t="shared" si="61"/>
        <v>-0.20611328694916553</v>
      </c>
      <c r="M185" s="337">
        <f>M163+M164+M165+M166+M167+M168+M169+M170+M171+M172</f>
        <v>3735.47</v>
      </c>
    </row>
    <row r="186" spans="1:13" s="2" customFormat="1">
      <c r="A186" s="139" t="s">
        <v>108</v>
      </c>
      <c r="B186" s="355">
        <f>B173+B174+B175+B176+B177+B178</f>
        <v>506.58999999999992</v>
      </c>
      <c r="C186" s="201">
        <f t="shared" si="65"/>
        <v>-0.20787140556346073</v>
      </c>
      <c r="D186" s="355">
        <f>D173+D174+D175+D176+D177+D178</f>
        <v>639.53</v>
      </c>
      <c r="E186" s="355">
        <f>E173+E174+E175+E176+E177+E178</f>
        <v>1197.24</v>
      </c>
      <c r="F186" s="201">
        <f t="shared" si="63"/>
        <v>-3.7193704814674877E-2</v>
      </c>
      <c r="G186" s="355">
        <f>G173+G174+G175+G176+G177+G178</f>
        <v>1243.49</v>
      </c>
      <c r="H186" s="201">
        <f t="shared" si="64"/>
        <v>-2.8470306969912484E-2</v>
      </c>
      <c r="I186" s="355">
        <f>I173+I174+I175+I176+I177+I178</f>
        <v>1279.93</v>
      </c>
      <c r="J186" s="201">
        <f t="shared" si="60"/>
        <v>-3.9675572662269842E-2</v>
      </c>
      <c r="K186" s="337">
        <f>K173+K174+K175+K176+K177+K178</f>
        <v>1332.81</v>
      </c>
      <c r="L186" s="208">
        <f t="shared" si="61"/>
        <v>-8.6246494950672159E-2</v>
      </c>
      <c r="M186" s="337">
        <f>M173+M174+M175+M176+M177+M178</f>
        <v>1458.61</v>
      </c>
    </row>
    <row r="187" spans="1:13">
      <c r="A187" s="139" t="s">
        <v>109</v>
      </c>
      <c r="B187" s="355">
        <f>B179+B180+B181+B182</f>
        <v>346.07</v>
      </c>
      <c r="C187" s="201">
        <f t="shared" si="65"/>
        <v>-0.36736559238067379</v>
      </c>
      <c r="D187" s="355">
        <f>D179+D180+D181+D182</f>
        <v>547.03</v>
      </c>
      <c r="E187" s="355">
        <f>E179+E180+E181+E182</f>
        <v>1106.54</v>
      </c>
      <c r="F187" s="201">
        <f t="shared" si="63"/>
        <v>1.3352137440931777E-2</v>
      </c>
      <c r="G187" s="355">
        <f>G179+G180+G181+G182</f>
        <v>1091.96</v>
      </c>
      <c r="H187" s="201">
        <f t="shared" si="64"/>
        <v>0.30776785072696367</v>
      </c>
      <c r="I187" s="355">
        <f>I179+I180+I181+I182</f>
        <v>834.9799999999999</v>
      </c>
      <c r="J187" s="201">
        <f t="shared" si="60"/>
        <v>1.3189986773610274E-2</v>
      </c>
      <c r="K187" s="337">
        <f>K179+K180+K181+K182</f>
        <v>824.11</v>
      </c>
      <c r="L187" s="208">
        <f t="shared" si="61"/>
        <v>-1.4917701622060964E-2</v>
      </c>
      <c r="M187" s="337">
        <f>M179+M180+M181+M182</f>
        <v>836.59</v>
      </c>
    </row>
    <row r="188" spans="1:13" s="2" customFormat="1">
      <c r="A188" s="2" t="s">
        <v>113</v>
      </c>
      <c r="B188" s="367">
        <f>SUM(B183:B187)</f>
        <v>6720.079999999999</v>
      </c>
      <c r="C188" s="153">
        <f t="shared" si="65"/>
        <v>-0.1048236377029943</v>
      </c>
      <c r="D188" s="367">
        <f>SUM(D183:D187)</f>
        <v>7506.99</v>
      </c>
      <c r="E188" s="367">
        <f>SUM(E183:E187)</f>
        <v>16617.97</v>
      </c>
      <c r="F188" s="153">
        <f t="shared" si="63"/>
        <v>1.8078304808955226E-2</v>
      </c>
      <c r="G188" s="367">
        <f>SUM(G183:G187)</f>
        <v>16322.880000000001</v>
      </c>
      <c r="H188" s="153">
        <f t="shared" si="64"/>
        <v>0.11640809827582332</v>
      </c>
      <c r="I188" s="367">
        <f>SUM(I183:I187)</f>
        <v>14620.89</v>
      </c>
      <c r="J188" s="153">
        <f t="shared" si="60"/>
        <v>8.3748979877740881E-2</v>
      </c>
      <c r="K188" s="209">
        <f>SUM(K183:K187)</f>
        <v>13491.03</v>
      </c>
      <c r="L188" s="207">
        <f t="shared" si="61"/>
        <v>-5.5895270459405899E-2</v>
      </c>
      <c r="M188" s="209">
        <f>SUM(M183:M187)</f>
        <v>14289.76</v>
      </c>
    </row>
    <row r="189" spans="1:13">
      <c r="B189" s="448"/>
      <c r="C189" s="423"/>
      <c r="D189" s="448"/>
      <c r="E189" s="139"/>
      <c r="F189" s="201"/>
      <c r="G189" s="139"/>
      <c r="H189" s="201"/>
      <c r="I189" s="139"/>
      <c r="J189" s="201"/>
    </row>
    <row r="190" spans="1:13">
      <c r="A190" s="5" t="s">
        <v>2</v>
      </c>
      <c r="B190" s="449"/>
      <c r="C190" s="423"/>
      <c r="D190" s="449"/>
      <c r="E190" s="368"/>
      <c r="F190" s="201"/>
      <c r="G190" s="368"/>
      <c r="H190" s="201"/>
      <c r="I190" s="368"/>
      <c r="J190" s="201"/>
      <c r="K190" s="3"/>
      <c r="L190" s="3"/>
      <c r="M190" s="3"/>
    </row>
    <row r="191" spans="1:13" s="2" customFormat="1">
      <c r="A191" s="6" t="s">
        <v>86</v>
      </c>
      <c r="B191" s="388">
        <v>8317.7100000000009</v>
      </c>
      <c r="C191" s="201">
        <f t="shared" ref="C191:C218" si="66">IF((+B191/D191)&lt;0,"n.m.",IF(B191&lt;0,(+B191/D191-1)*-1,(+B191/D191-1)))</f>
        <v>8.4779560882408678E-2</v>
      </c>
      <c r="D191" s="354">
        <v>7667.65</v>
      </c>
      <c r="E191" s="388">
        <v>7617.47</v>
      </c>
      <c r="F191" s="201">
        <f t="shared" ref="F191:F218" si="67">IF((+E191/G191)&lt;0,"n.m.",IF(E191&lt;0,(+E191/G191-1)*-1,(+E191/G191-1)))</f>
        <v>6.1197963829271673E-2</v>
      </c>
      <c r="G191" s="354">
        <v>7178.1799999999994</v>
      </c>
      <c r="H191" s="201">
        <f t="shared" si="64"/>
        <v>3.5961899263962982E-2</v>
      </c>
      <c r="I191" s="354">
        <v>6929</v>
      </c>
      <c r="J191" s="201">
        <f t="shared" si="60"/>
        <v>6.7183753055312101E-2</v>
      </c>
      <c r="K191" s="210">
        <v>6492.79</v>
      </c>
      <c r="L191" s="216">
        <f t="shared" ref="L191:L218" si="68">IF((+K191/M191)&lt;0,"n.m.",IF(K191&lt;0,(+K191/M191-1)*-1,(+K191/M191-1)))</f>
        <v>0.33153752132825831</v>
      </c>
      <c r="M191" s="210">
        <v>4876.16</v>
      </c>
    </row>
    <row r="192" spans="1:13" s="2" customFormat="1">
      <c r="A192" s="6" t="s">
        <v>87</v>
      </c>
      <c r="B192" s="388">
        <v>1954.6</v>
      </c>
      <c r="C192" s="201">
        <f t="shared" si="66"/>
        <v>-7.6254164795954482E-2</v>
      </c>
      <c r="D192" s="354">
        <v>2115.9499999999998</v>
      </c>
      <c r="E192" s="388">
        <v>1884.6</v>
      </c>
      <c r="F192" s="201">
        <f t="shared" si="67"/>
        <v>-8.3245367825541372E-2</v>
      </c>
      <c r="G192" s="354">
        <v>2055.73</v>
      </c>
      <c r="H192" s="201">
        <f t="shared" si="64"/>
        <v>3.5043023367050674E-2</v>
      </c>
      <c r="I192" s="354">
        <v>1986.1299999999997</v>
      </c>
      <c r="J192" s="201">
        <f t="shared" si="60"/>
        <v>6.9899858325656927E-2</v>
      </c>
      <c r="K192" s="210">
        <v>1856.37</v>
      </c>
      <c r="L192" s="216">
        <f t="shared" si="68"/>
        <v>7.113924342788569E-2</v>
      </c>
      <c r="M192" s="210">
        <v>1733.08</v>
      </c>
    </row>
    <row r="193" spans="1:13" s="2" customFormat="1">
      <c r="A193" s="9" t="s">
        <v>88</v>
      </c>
      <c r="B193" s="388">
        <v>1496.1100000000001</v>
      </c>
      <c r="C193" s="201">
        <f t="shared" si="66"/>
        <v>-5.7467571330473088E-2</v>
      </c>
      <c r="D193" s="354">
        <v>1587.33</v>
      </c>
      <c r="E193" s="388">
        <v>1498.1200000000001</v>
      </c>
      <c r="F193" s="201">
        <f t="shared" si="67"/>
        <v>-8.1961185633659395E-2</v>
      </c>
      <c r="G193" s="354">
        <v>1631.87</v>
      </c>
      <c r="H193" s="201">
        <f t="shared" si="64"/>
        <v>0.15280878239000817</v>
      </c>
      <c r="I193" s="354">
        <v>1415.56</v>
      </c>
      <c r="J193" s="201">
        <f t="shared" si="60"/>
        <v>0.6217306128060307</v>
      </c>
      <c r="K193" s="210">
        <v>872.87</v>
      </c>
      <c r="L193" s="216">
        <f t="shared" si="68"/>
        <v>2.8054884871326902E-2</v>
      </c>
      <c r="M193" s="210">
        <v>849.05</v>
      </c>
    </row>
    <row r="194" spans="1:13" s="2" customFormat="1">
      <c r="A194" s="9" t="s">
        <v>89</v>
      </c>
      <c r="B194" s="388">
        <v>914.08</v>
      </c>
      <c r="C194" s="201">
        <f t="shared" si="66"/>
        <v>0.43421093921611709</v>
      </c>
      <c r="D194" s="354">
        <v>637.34</v>
      </c>
      <c r="E194" s="388">
        <v>761.00999999999988</v>
      </c>
      <c r="F194" s="201">
        <f t="shared" si="67"/>
        <v>0.67656583904298184</v>
      </c>
      <c r="G194" s="354">
        <v>453.90999999999997</v>
      </c>
      <c r="H194" s="201">
        <f t="shared" si="64"/>
        <v>0.20614885871442601</v>
      </c>
      <c r="I194" s="354">
        <v>376.33000000000004</v>
      </c>
      <c r="J194" s="201">
        <f t="shared" si="60"/>
        <v>0.31111730481134403</v>
      </c>
      <c r="K194" s="210">
        <v>287.02999999999997</v>
      </c>
      <c r="L194" s="216">
        <f t="shared" si="68"/>
        <v>-0.11248879131752276</v>
      </c>
      <c r="M194" s="210">
        <v>323.41000000000003</v>
      </c>
    </row>
    <row r="195" spans="1:13">
      <c r="A195" s="9" t="s">
        <v>90</v>
      </c>
      <c r="B195" s="388">
        <v>490.74</v>
      </c>
      <c r="C195" s="201">
        <f t="shared" si="66"/>
        <v>-0.44400258318887864</v>
      </c>
      <c r="D195" s="354">
        <v>882.63</v>
      </c>
      <c r="E195" s="388">
        <v>649</v>
      </c>
      <c r="F195" s="201">
        <f t="shared" si="67"/>
        <v>-0.32865772922873215</v>
      </c>
      <c r="G195" s="354">
        <v>966.71999999999991</v>
      </c>
      <c r="H195" s="201">
        <f t="shared" si="64"/>
        <v>-0.21064106018665962</v>
      </c>
      <c r="I195" s="354">
        <v>1224.69</v>
      </c>
      <c r="J195" s="201">
        <f t="shared" si="60"/>
        <v>3.5670122315035799</v>
      </c>
      <c r="K195" s="210">
        <v>268.16000000000003</v>
      </c>
      <c r="L195" s="216">
        <f t="shared" si="68"/>
        <v>0.96195493122622189</v>
      </c>
      <c r="M195" s="210">
        <v>136.68</v>
      </c>
    </row>
    <row r="196" spans="1:13">
      <c r="A196" s="9" t="s">
        <v>132</v>
      </c>
      <c r="B196" s="388">
        <v>69.34</v>
      </c>
      <c r="C196" s="201">
        <f t="shared" si="66"/>
        <v>8.3776180056267524E-2</v>
      </c>
      <c r="D196" s="354">
        <v>63.980000000000004</v>
      </c>
      <c r="E196" s="388">
        <v>102.78</v>
      </c>
      <c r="F196" s="201">
        <f t="shared" si="67"/>
        <v>0.2303088340914532</v>
      </c>
      <c r="G196" s="354">
        <v>83.54</v>
      </c>
      <c r="H196" s="201">
        <f t="shared" si="64"/>
        <v>-0.55235237380773761</v>
      </c>
      <c r="I196" s="354">
        <v>186.61999999999998</v>
      </c>
      <c r="J196" s="201">
        <f t="shared" si="60"/>
        <v>-0.22631731686082679</v>
      </c>
      <c r="K196" s="210">
        <v>241.21</v>
      </c>
      <c r="L196" s="216">
        <f t="shared" si="68"/>
        <v>-0.38121135938021089</v>
      </c>
      <c r="M196" s="210">
        <v>389.81</v>
      </c>
    </row>
    <row r="197" spans="1:13">
      <c r="A197" s="9" t="s">
        <v>91</v>
      </c>
      <c r="B197" s="388">
        <v>304.92</v>
      </c>
      <c r="C197" s="201">
        <f t="shared" si="66"/>
        <v>0.23905888089723271</v>
      </c>
      <c r="D197" s="354">
        <v>246.09</v>
      </c>
      <c r="E197" s="388">
        <v>223.51000000000002</v>
      </c>
      <c r="F197" s="201">
        <f t="shared" si="67"/>
        <v>-0.14609360076408762</v>
      </c>
      <c r="G197" s="354">
        <v>261.74999999999994</v>
      </c>
      <c r="H197" s="201">
        <f t="shared" si="64"/>
        <v>-0.45033599328013452</v>
      </c>
      <c r="I197" s="354">
        <v>476.2</v>
      </c>
      <c r="J197" s="201">
        <f t="shared" si="60"/>
        <v>-7.5411618515066725E-2</v>
      </c>
      <c r="K197" s="210">
        <v>515.04</v>
      </c>
      <c r="L197" s="216">
        <f t="shared" si="68"/>
        <v>0.4500408232213744</v>
      </c>
      <c r="M197" s="210">
        <v>355.19</v>
      </c>
    </row>
    <row r="198" spans="1:13">
      <c r="A198" s="9" t="s">
        <v>92</v>
      </c>
      <c r="B198" s="388">
        <v>343.78999999999996</v>
      </c>
      <c r="C198" s="201">
        <f t="shared" si="66"/>
        <v>0.16927419903407936</v>
      </c>
      <c r="D198" s="354">
        <v>294.02</v>
      </c>
      <c r="E198" s="388">
        <v>281.78000000000003</v>
      </c>
      <c r="F198" s="201">
        <f t="shared" si="67"/>
        <v>0.50870054077207261</v>
      </c>
      <c r="G198" s="354">
        <v>186.77</v>
      </c>
      <c r="H198" s="201">
        <f t="shared" si="64"/>
        <v>0.35596050529984025</v>
      </c>
      <c r="I198" s="354">
        <v>137.74</v>
      </c>
      <c r="J198" s="201">
        <f t="shared" si="60"/>
        <v>-0.49244601665561205</v>
      </c>
      <c r="K198" s="210">
        <v>271.38</v>
      </c>
      <c r="L198" s="216">
        <f t="shared" si="68"/>
        <v>-0.30939535830618892</v>
      </c>
      <c r="M198" s="210">
        <v>392.96</v>
      </c>
    </row>
    <row r="199" spans="1:13">
      <c r="A199" s="9" t="s">
        <v>93</v>
      </c>
      <c r="B199" s="388">
        <v>205.61</v>
      </c>
      <c r="C199" s="201">
        <f t="shared" si="66"/>
        <v>1.4748435243139144</v>
      </c>
      <c r="D199" s="354">
        <v>83.08</v>
      </c>
      <c r="E199" s="388">
        <v>187.86</v>
      </c>
      <c r="F199" s="201">
        <f t="shared" si="67"/>
        <v>1.0293831694933568</v>
      </c>
      <c r="G199" s="354">
        <v>92.57</v>
      </c>
      <c r="H199" s="201">
        <f t="shared" si="64"/>
        <v>-0.3935403563941301</v>
      </c>
      <c r="I199" s="354">
        <v>152.64000000000001</v>
      </c>
      <c r="J199" s="201">
        <f t="shared" si="60"/>
        <v>0.44040766254600383</v>
      </c>
      <c r="K199" s="210">
        <v>105.97</v>
      </c>
      <c r="L199" s="216">
        <f t="shared" si="68"/>
        <v>0.934465133260314</v>
      </c>
      <c r="M199" s="210">
        <v>54.78</v>
      </c>
    </row>
    <row r="200" spans="1:13">
      <c r="A200" s="9" t="s">
        <v>94</v>
      </c>
      <c r="B200" s="388">
        <v>86.320000000000007</v>
      </c>
      <c r="C200" s="201">
        <f t="shared" si="66"/>
        <v>0.84011937753144328</v>
      </c>
      <c r="D200" s="354">
        <v>46.910000000000004</v>
      </c>
      <c r="E200" s="388">
        <v>38.65</v>
      </c>
      <c r="F200" s="201">
        <f t="shared" si="67"/>
        <v>-0.22607128554265121</v>
      </c>
      <c r="G200" s="354">
        <v>49.94</v>
      </c>
      <c r="H200" s="201">
        <f t="shared" si="64"/>
        <v>-0.11704384724186712</v>
      </c>
      <c r="I200" s="354">
        <v>56.56</v>
      </c>
      <c r="J200" s="201">
        <f t="shared" si="60"/>
        <v>0.11602209944751385</v>
      </c>
      <c r="K200" s="210">
        <v>50.68</v>
      </c>
      <c r="L200" s="216">
        <f t="shared" si="68"/>
        <v>-0.10633045318286016</v>
      </c>
      <c r="M200" s="210">
        <v>56.71</v>
      </c>
    </row>
    <row r="201" spans="1:13">
      <c r="A201" s="9" t="s">
        <v>95</v>
      </c>
      <c r="B201" s="388">
        <v>149.9</v>
      </c>
      <c r="C201" s="201">
        <f t="shared" si="66"/>
        <v>0.20585632692462386</v>
      </c>
      <c r="D201" s="354">
        <v>124.31</v>
      </c>
      <c r="E201" s="388">
        <v>194.01</v>
      </c>
      <c r="F201" s="201">
        <f t="shared" si="67"/>
        <v>0.80172734026745895</v>
      </c>
      <c r="G201" s="354">
        <v>107.68</v>
      </c>
      <c r="H201" s="201">
        <f t="shared" si="64"/>
        <v>0.46145494028230183</v>
      </c>
      <c r="I201" s="354">
        <v>73.680000000000007</v>
      </c>
      <c r="J201" s="201">
        <f t="shared" si="60"/>
        <v>-0.11303719754423969</v>
      </c>
      <c r="K201" s="210">
        <v>83.07</v>
      </c>
      <c r="L201" s="216">
        <f t="shared" si="68"/>
        <v>-0.11354177782520547</v>
      </c>
      <c r="M201" s="210">
        <v>93.71</v>
      </c>
    </row>
    <row r="202" spans="1:13">
      <c r="A202" s="9" t="s">
        <v>96</v>
      </c>
      <c r="B202" s="388">
        <v>201.9</v>
      </c>
      <c r="C202" s="201">
        <f t="shared" si="66"/>
        <v>0.87796484047995538</v>
      </c>
      <c r="D202" s="354">
        <v>107.51</v>
      </c>
      <c r="E202" s="388">
        <v>91.81</v>
      </c>
      <c r="F202" s="201">
        <f t="shared" si="67"/>
        <v>-0.129432960364119</v>
      </c>
      <c r="G202" s="354">
        <v>105.46</v>
      </c>
      <c r="H202" s="201">
        <f t="shared" si="64"/>
        <v>0.10777310924369732</v>
      </c>
      <c r="I202" s="354">
        <v>95.2</v>
      </c>
      <c r="J202" s="201">
        <f t="shared" si="60"/>
        <v>1.1849896717925179</v>
      </c>
      <c r="K202" s="210">
        <v>43.57</v>
      </c>
      <c r="L202" s="216">
        <f t="shared" si="68"/>
        <v>0.62756817332835269</v>
      </c>
      <c r="M202" s="210">
        <v>26.77</v>
      </c>
    </row>
    <row r="203" spans="1:13">
      <c r="A203" s="9" t="s">
        <v>97</v>
      </c>
      <c r="B203" s="388">
        <v>160.57999999999998</v>
      </c>
      <c r="C203" s="201">
        <f t="shared" si="66"/>
        <v>-0.23584277148567634</v>
      </c>
      <c r="D203" s="354">
        <v>210.14000000000001</v>
      </c>
      <c r="E203" s="388">
        <v>150.88</v>
      </c>
      <c r="F203" s="201">
        <f t="shared" si="67"/>
        <v>-0.16544056640300908</v>
      </c>
      <c r="G203" s="354">
        <v>180.79000000000002</v>
      </c>
      <c r="H203" s="201">
        <f t="shared" si="64"/>
        <v>-8.270333350246073E-2</v>
      </c>
      <c r="I203" s="354">
        <v>197.09</v>
      </c>
      <c r="J203" s="201">
        <f t="shared" si="60"/>
        <v>-0.20222626998583282</v>
      </c>
      <c r="K203" s="210">
        <v>247.05</v>
      </c>
      <c r="L203" s="216">
        <f t="shared" si="68"/>
        <v>-0.19632400780741699</v>
      </c>
      <c r="M203" s="210">
        <v>307.39999999999998</v>
      </c>
    </row>
    <row r="204" spans="1:13">
      <c r="A204" s="6" t="s">
        <v>98</v>
      </c>
      <c r="B204" s="337">
        <v>437.53000000000003</v>
      </c>
      <c r="C204" s="201">
        <f t="shared" si="66"/>
        <v>-0.14292150678759608</v>
      </c>
      <c r="D204" s="355">
        <v>510.48999999999995</v>
      </c>
      <c r="E204" s="337">
        <v>438.71</v>
      </c>
      <c r="F204" s="201">
        <f t="shared" si="67"/>
        <v>-0.22649293862510356</v>
      </c>
      <c r="G204" s="355">
        <v>567.16999999999996</v>
      </c>
      <c r="H204" s="201">
        <f t="shared" si="64"/>
        <v>-9.5695450973544149E-3</v>
      </c>
      <c r="I204" s="355">
        <v>572.65</v>
      </c>
      <c r="J204" s="201">
        <f t="shared" si="60"/>
        <v>0.39104136808608825</v>
      </c>
      <c r="K204" s="334">
        <v>411.67</v>
      </c>
      <c r="L204" s="216">
        <f t="shared" si="68"/>
        <v>0.18496876888978431</v>
      </c>
      <c r="M204" s="334">
        <v>347.41</v>
      </c>
    </row>
    <row r="205" spans="1:13">
      <c r="A205" s="6" t="s">
        <v>99</v>
      </c>
      <c r="B205" s="388">
        <v>136.91999999999999</v>
      </c>
      <c r="C205" s="201">
        <f t="shared" si="66"/>
        <v>-0.52917712595852961</v>
      </c>
      <c r="D205" s="354">
        <v>290.81</v>
      </c>
      <c r="E205" s="388">
        <v>171.57</v>
      </c>
      <c r="F205" s="201">
        <f t="shared" si="67"/>
        <v>-0.55987378790210873</v>
      </c>
      <c r="G205" s="354">
        <v>389.82</v>
      </c>
      <c r="H205" s="201">
        <f t="shared" si="64"/>
        <v>1.8418371345716666E-2</v>
      </c>
      <c r="I205" s="354">
        <v>382.77000000000004</v>
      </c>
      <c r="J205" s="201">
        <f t="shared" si="60"/>
        <v>1.7437069721698117E-2</v>
      </c>
      <c r="K205" s="210">
        <v>376.21</v>
      </c>
      <c r="L205" s="216">
        <f t="shared" si="68"/>
        <v>0.35507690091128485</v>
      </c>
      <c r="M205" s="210">
        <v>277.63</v>
      </c>
    </row>
    <row r="206" spans="1:13" s="2" customFormat="1">
      <c r="A206" s="6" t="s">
        <v>100</v>
      </c>
      <c r="B206" s="388">
        <v>105.52000000000001</v>
      </c>
      <c r="C206" s="201">
        <f t="shared" si="66"/>
        <v>-7.3654639627776186E-2</v>
      </c>
      <c r="D206" s="354">
        <v>113.91</v>
      </c>
      <c r="E206" s="388">
        <v>116.47999999999999</v>
      </c>
      <c r="F206" s="201">
        <f t="shared" si="67"/>
        <v>8.4848484848483174E-3</v>
      </c>
      <c r="G206" s="354">
        <v>115.5</v>
      </c>
      <c r="H206" s="201">
        <f t="shared" si="64"/>
        <v>-0.57710896309314585</v>
      </c>
      <c r="I206" s="354">
        <v>273.12</v>
      </c>
      <c r="J206" s="201">
        <f t="shared" si="60"/>
        <v>-0.71645990137555149</v>
      </c>
      <c r="K206" s="210">
        <v>963.25</v>
      </c>
      <c r="L206" s="216">
        <f t="shared" si="68"/>
        <v>-4.7663773159591138E-2</v>
      </c>
      <c r="M206" s="210">
        <v>1011.46</v>
      </c>
    </row>
    <row r="207" spans="1:13">
      <c r="A207" s="6" t="s">
        <v>101</v>
      </c>
      <c r="B207" s="388">
        <v>134.18</v>
      </c>
      <c r="C207" s="201">
        <f t="shared" si="66"/>
        <v>-0.26516976998904718</v>
      </c>
      <c r="D207" s="354">
        <v>182.60000000000002</v>
      </c>
      <c r="E207" s="388">
        <v>150.51</v>
      </c>
      <c r="F207" s="201">
        <f t="shared" si="67"/>
        <v>-0.28776263486655307</v>
      </c>
      <c r="G207" s="354">
        <v>211.32</v>
      </c>
      <c r="H207" s="201">
        <f t="shared" si="64"/>
        <v>2.3612215683155715</v>
      </c>
      <c r="I207" s="354">
        <v>62.870000000000005</v>
      </c>
      <c r="J207" s="201">
        <f t="shared" si="60"/>
        <v>-0.60679216961661142</v>
      </c>
      <c r="K207" s="210">
        <v>159.88999999999999</v>
      </c>
      <c r="L207" s="216">
        <f t="shared" si="68"/>
        <v>-0.50335466235944593</v>
      </c>
      <c r="M207" s="210">
        <v>321.94</v>
      </c>
    </row>
    <row r="208" spans="1:13">
      <c r="A208" s="6" t="s">
        <v>102</v>
      </c>
      <c r="B208" s="388">
        <v>2363.27</v>
      </c>
      <c r="C208" s="201">
        <f t="shared" si="66"/>
        <v>1.1457353501970258</v>
      </c>
      <c r="D208" s="354">
        <v>1101.3799999999999</v>
      </c>
      <c r="E208" s="388">
        <v>1036.58</v>
      </c>
      <c r="F208" s="201">
        <f t="shared" si="67"/>
        <v>1.4039424860853429</v>
      </c>
      <c r="G208" s="354">
        <v>431.20000000000005</v>
      </c>
      <c r="H208" s="201">
        <f t="shared" si="64"/>
        <v>0.97580645161290369</v>
      </c>
      <c r="I208" s="354">
        <v>218.23999999999998</v>
      </c>
      <c r="J208" s="201">
        <f t="shared" si="60"/>
        <v>-0.13259141494435622</v>
      </c>
      <c r="K208" s="210">
        <v>251.6</v>
      </c>
      <c r="L208" s="216">
        <f t="shared" si="68"/>
        <v>-4.8447486857531974E-2</v>
      </c>
      <c r="M208" s="210">
        <v>264.41000000000003</v>
      </c>
    </row>
    <row r="209" spans="1:13">
      <c r="A209" s="6" t="s">
        <v>103</v>
      </c>
      <c r="B209" s="388">
        <v>301.95</v>
      </c>
      <c r="C209" s="201">
        <f t="shared" si="66"/>
        <v>0.55982022936253739</v>
      </c>
      <c r="D209" s="354">
        <v>193.58</v>
      </c>
      <c r="E209" s="388">
        <v>280.61</v>
      </c>
      <c r="F209" s="201">
        <f t="shared" si="67"/>
        <v>0.62427645288261191</v>
      </c>
      <c r="G209" s="354">
        <v>172.76</v>
      </c>
      <c r="H209" s="201">
        <f t="shared" si="64"/>
        <v>-0.47255297062954149</v>
      </c>
      <c r="I209" s="354">
        <v>327.54000000000002</v>
      </c>
      <c r="J209" s="201">
        <f t="shared" si="60"/>
        <v>-0.18795091111937523</v>
      </c>
      <c r="K209" s="210">
        <v>403.35</v>
      </c>
      <c r="L209" s="216">
        <f t="shared" si="68"/>
        <v>-0.19444388967665904</v>
      </c>
      <c r="M209" s="210">
        <v>500.71</v>
      </c>
    </row>
    <row r="210" spans="1:13">
      <c r="A210" s="6" t="s">
        <v>104</v>
      </c>
      <c r="B210" s="388">
        <v>823.3</v>
      </c>
      <c r="C210" s="201">
        <f t="shared" si="66"/>
        <v>-0.38253271834102087</v>
      </c>
      <c r="D210" s="354">
        <v>1333.3500000000001</v>
      </c>
      <c r="E210" s="388">
        <v>1056.3</v>
      </c>
      <c r="F210" s="201">
        <f t="shared" si="67"/>
        <v>-6.8674560699706455E-2</v>
      </c>
      <c r="G210" s="354">
        <v>1134.19</v>
      </c>
      <c r="H210" s="201">
        <f t="shared" si="64"/>
        <v>0.44291639102335756</v>
      </c>
      <c r="I210" s="354">
        <v>786.04000000000008</v>
      </c>
      <c r="J210" s="201">
        <f t="shared" si="60"/>
        <v>0.14168687998373253</v>
      </c>
      <c r="K210" s="210">
        <v>688.49</v>
      </c>
      <c r="L210" s="216">
        <f t="shared" si="68"/>
        <v>0.50832493537221235</v>
      </c>
      <c r="M210" s="210">
        <v>456.46</v>
      </c>
    </row>
    <row r="211" spans="1:13">
      <c r="A211" s="6" t="s">
        <v>105</v>
      </c>
      <c r="B211" s="389">
        <v>100.48</v>
      </c>
      <c r="C211" s="201">
        <f t="shared" si="66"/>
        <v>0.10795015988532364</v>
      </c>
      <c r="D211" s="356">
        <v>90.690000000000012</v>
      </c>
      <c r="E211" s="389">
        <v>69.33</v>
      </c>
      <c r="F211" s="201">
        <f t="shared" si="67"/>
        <v>-0.44544872820348747</v>
      </c>
      <c r="G211" s="356">
        <v>125.02</v>
      </c>
      <c r="H211" s="201">
        <f t="shared" si="64"/>
        <v>-0.15822784810126589</v>
      </c>
      <c r="I211" s="356">
        <v>148.52000000000001</v>
      </c>
      <c r="J211" s="201">
        <f t="shared" si="60"/>
        <v>1.7092302079533019</v>
      </c>
      <c r="K211" s="211">
        <v>54.82</v>
      </c>
      <c r="L211" s="216">
        <f t="shared" si="68"/>
        <v>-0.40309233449477355</v>
      </c>
      <c r="M211" s="211">
        <v>91.84</v>
      </c>
    </row>
    <row r="212" spans="1:13">
      <c r="A212" s="6" t="s">
        <v>106</v>
      </c>
      <c r="B212" s="389">
        <v>341.79</v>
      </c>
      <c r="C212" s="201">
        <f t="shared" si="66"/>
        <v>-0.22647444892047253</v>
      </c>
      <c r="D212" s="356">
        <v>441.86</v>
      </c>
      <c r="E212" s="389">
        <v>409.90999999999997</v>
      </c>
      <c r="F212" s="201">
        <f t="shared" si="67"/>
        <v>3.039062892765565E-2</v>
      </c>
      <c r="G212" s="356">
        <v>397.82</v>
      </c>
      <c r="H212" s="201">
        <f t="shared" si="64"/>
        <v>-0.22403838651790586</v>
      </c>
      <c r="I212" s="356">
        <v>512.67999999999995</v>
      </c>
      <c r="J212" s="201">
        <f t="shared" si="60"/>
        <v>1.9925286014475834</v>
      </c>
      <c r="K212" s="211">
        <v>171.32</v>
      </c>
      <c r="L212" s="216">
        <f t="shared" si="68"/>
        <v>-0.35837609078311672</v>
      </c>
      <c r="M212" s="211">
        <v>267.01</v>
      </c>
    </row>
    <row r="213" spans="1:13">
      <c r="A213" s="13" t="s">
        <v>86</v>
      </c>
      <c r="B213" s="366">
        <f>B191</f>
        <v>8317.7100000000009</v>
      </c>
      <c r="C213" s="201">
        <f t="shared" si="66"/>
        <v>8.4779560882408678E-2</v>
      </c>
      <c r="D213" s="366">
        <f>D191</f>
        <v>7667.65</v>
      </c>
      <c r="E213" s="366">
        <f>E191</f>
        <v>7617.47</v>
      </c>
      <c r="F213" s="201">
        <f t="shared" si="67"/>
        <v>6.1197963829271673E-2</v>
      </c>
      <c r="G213" s="366">
        <f>G191</f>
        <v>7178.1799999999994</v>
      </c>
      <c r="H213" s="201">
        <f t="shared" si="64"/>
        <v>3.5961899263962982E-2</v>
      </c>
      <c r="I213" s="366">
        <f>I191</f>
        <v>6929</v>
      </c>
      <c r="J213" s="201">
        <f t="shared" si="60"/>
        <v>6.7183753055312101E-2</v>
      </c>
      <c r="K213" s="335">
        <f>K191</f>
        <v>6492.79</v>
      </c>
      <c r="L213" s="216">
        <f t="shared" si="68"/>
        <v>0.33153752132825831</v>
      </c>
      <c r="M213" s="335">
        <f>M191</f>
        <v>4876.16</v>
      </c>
    </row>
    <row r="214" spans="1:13">
      <c r="A214" s="13" t="s">
        <v>87</v>
      </c>
      <c r="B214" s="366">
        <f>B192</f>
        <v>1954.6</v>
      </c>
      <c r="C214" s="201">
        <f t="shared" si="66"/>
        <v>-7.6254164795954482E-2</v>
      </c>
      <c r="D214" s="366">
        <f>D192</f>
        <v>2115.9499999999998</v>
      </c>
      <c r="E214" s="366">
        <f>E192</f>
        <v>1884.6</v>
      </c>
      <c r="F214" s="201">
        <f t="shared" si="67"/>
        <v>-8.3245367825541372E-2</v>
      </c>
      <c r="G214" s="366">
        <f>G192</f>
        <v>2055.73</v>
      </c>
      <c r="H214" s="201">
        <f t="shared" si="64"/>
        <v>3.5043023367050674E-2</v>
      </c>
      <c r="I214" s="366">
        <f>I192</f>
        <v>1986.1299999999997</v>
      </c>
      <c r="J214" s="201">
        <f t="shared" si="60"/>
        <v>6.9899858325656927E-2</v>
      </c>
      <c r="K214" s="335">
        <f>K192</f>
        <v>1856.37</v>
      </c>
      <c r="L214" s="216">
        <f t="shared" si="68"/>
        <v>7.113924342788569E-2</v>
      </c>
      <c r="M214" s="335">
        <f>M192</f>
        <v>1733.08</v>
      </c>
    </row>
    <row r="215" spans="1:13" s="2" customFormat="1">
      <c r="A215" s="13" t="s">
        <v>107</v>
      </c>
      <c r="B215" s="355">
        <f>B193+B194+B195+B196+B197+B198+B199+B200+B201+B202</f>
        <v>4262.7100000000009</v>
      </c>
      <c r="C215" s="201">
        <f t="shared" si="66"/>
        <v>4.6526072866542423E-2</v>
      </c>
      <c r="D215" s="355">
        <f>D193+D194+D195+D196+D197+D198+D199+D200+D201+D202</f>
        <v>4073.2000000000003</v>
      </c>
      <c r="E215" s="355">
        <f>E193+E194+E195+E196+E197+E198+E199+E200+E201+E202</f>
        <v>4028.5300000000011</v>
      </c>
      <c r="F215" s="201">
        <f t="shared" si="67"/>
        <v>2.2415048944092186E-2</v>
      </c>
      <c r="G215" s="355">
        <f>G193+G194+G195+G196+G197+G198+G199+G200+G201+G202</f>
        <v>3940.2099999999996</v>
      </c>
      <c r="H215" s="201">
        <f t="shared" si="64"/>
        <v>-6.0785846749395689E-2</v>
      </c>
      <c r="I215" s="355">
        <f>I193+I194+I195+I196+I197+I198+I199+I200+I201+I202</f>
        <v>4195.2199999999993</v>
      </c>
      <c r="J215" s="201">
        <f t="shared" si="60"/>
        <v>0.53167237438754533</v>
      </c>
      <c r="K215" s="334">
        <f>K193+K194+K195+K196+K197+K198+K199+K200+K201+K202</f>
        <v>2738.9800000000005</v>
      </c>
      <c r="L215" s="216">
        <f t="shared" si="68"/>
        <v>2.2362237642167049E-2</v>
      </c>
      <c r="M215" s="334">
        <f>M193+M194+M195+M196+M197+M198+M199+M200+M201+M202</f>
        <v>2679.07</v>
      </c>
    </row>
    <row r="216" spans="1:13" s="2" customFormat="1">
      <c r="A216" s="13" t="s">
        <v>108</v>
      </c>
      <c r="B216" s="355">
        <f>B203+B204+B205+B206+B207+B208</f>
        <v>3338</v>
      </c>
      <c r="C216" s="201">
        <f t="shared" si="66"/>
        <v>0.38544740654040743</v>
      </c>
      <c r="D216" s="355">
        <f>D203+D204+D205+D206+D207+D208</f>
        <v>2409.33</v>
      </c>
      <c r="E216" s="355">
        <f>E203+E204+E205+E206+E207+E208</f>
        <v>2064.7299999999996</v>
      </c>
      <c r="F216" s="201">
        <f t="shared" si="67"/>
        <v>8.9107500791222538E-2</v>
      </c>
      <c r="G216" s="355">
        <f>G203+G204+G205+G206+G207+G208</f>
        <v>1895.8</v>
      </c>
      <c r="H216" s="201">
        <f t="shared" si="64"/>
        <v>0.11077258399053158</v>
      </c>
      <c r="I216" s="355">
        <f>I203+I204+I205+I206+I207+I208</f>
        <v>1706.74</v>
      </c>
      <c r="J216" s="201">
        <f t="shared" si="60"/>
        <v>-0.29171214315653182</v>
      </c>
      <c r="K216" s="334">
        <f>K203+K204+K205+K206+K207+K208</f>
        <v>2409.67</v>
      </c>
      <c r="L216" s="216">
        <f t="shared" si="68"/>
        <v>-4.7655370022725019E-2</v>
      </c>
      <c r="M216" s="334">
        <f>M203+M204+M205+M206+M207+M208</f>
        <v>2530.25</v>
      </c>
    </row>
    <row r="217" spans="1:13">
      <c r="A217" s="13" t="s">
        <v>109</v>
      </c>
      <c r="B217" s="355">
        <f>B209+B210+B211+B212</f>
        <v>1567.52</v>
      </c>
      <c r="C217" s="201">
        <f t="shared" si="66"/>
        <v>-0.23887583273447666</v>
      </c>
      <c r="D217" s="355">
        <f>D209+D210+D211+D212</f>
        <v>2059.48</v>
      </c>
      <c r="E217" s="355">
        <f>E209+E210+E211+E212</f>
        <v>1816.1499999999996</v>
      </c>
      <c r="F217" s="201">
        <f t="shared" si="67"/>
        <v>-7.4544073363611574E-3</v>
      </c>
      <c r="G217" s="355">
        <f>G209+G210+G211+G212</f>
        <v>1829.79</v>
      </c>
      <c r="H217" s="201">
        <f t="shared" si="64"/>
        <v>3.0995390978036497E-2</v>
      </c>
      <c r="I217" s="355">
        <f>I209+I210+I211+I212</f>
        <v>1774.7800000000002</v>
      </c>
      <c r="J217" s="201">
        <f t="shared" si="60"/>
        <v>0.34659099531100646</v>
      </c>
      <c r="K217" s="334">
        <f>K209+K210+K211+K212</f>
        <v>1317.98</v>
      </c>
      <c r="L217" s="216">
        <f t="shared" si="68"/>
        <v>1.4893390677952478E-3</v>
      </c>
      <c r="M217" s="334">
        <f>M209+M210+M211+M212</f>
        <v>1316.02</v>
      </c>
    </row>
    <row r="218" spans="1:13" s="2" customFormat="1">
      <c r="A218" s="21" t="s">
        <v>114</v>
      </c>
      <c r="B218" s="369">
        <f>SUM(B213:B217)</f>
        <v>19440.540000000005</v>
      </c>
      <c r="C218" s="153">
        <f t="shared" si="66"/>
        <v>6.083999386650718E-2</v>
      </c>
      <c r="D218" s="369">
        <f>SUM(D213:D217)</f>
        <v>18325.61</v>
      </c>
      <c r="E218" s="369">
        <f>SUM(E213:E217)</f>
        <v>17411.48</v>
      </c>
      <c r="F218" s="153">
        <f t="shared" si="67"/>
        <v>3.0282768165844187E-2</v>
      </c>
      <c r="G218" s="369">
        <f>SUM(G213:G217)</f>
        <v>16899.71</v>
      </c>
      <c r="H218" s="153">
        <f t="shared" si="64"/>
        <v>1.8553665138408171E-2</v>
      </c>
      <c r="I218" s="369">
        <f>SUM(I213:I217)</f>
        <v>16591.87</v>
      </c>
      <c r="J218" s="153">
        <f t="shared" si="60"/>
        <v>0.11987750906296601</v>
      </c>
      <c r="K218" s="212">
        <f>SUM(K213:K217)</f>
        <v>14815.789999999999</v>
      </c>
      <c r="L218" s="217">
        <f t="shared" si="68"/>
        <v>0.1279987635691433</v>
      </c>
      <c r="M218" s="212">
        <f>SUM(M213:M217)</f>
        <v>13134.58</v>
      </c>
    </row>
    <row r="219" spans="1:13" s="8" customFormat="1">
      <c r="B219" s="22"/>
      <c r="C219" s="22"/>
      <c r="D219" s="22"/>
      <c r="E219" s="22"/>
      <c r="F219" s="22"/>
      <c r="G219" s="22"/>
      <c r="H219" s="22"/>
      <c r="I219" s="22"/>
      <c r="J219" s="22"/>
      <c r="K219" s="140"/>
      <c r="L219" s="140"/>
      <c r="M219" s="140"/>
    </row>
    <row r="220" spans="1:13" s="8" customFormat="1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</row>
    <row r="221" spans="1:13" s="8" customFormat="1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</row>
    <row r="222" spans="1:13" s="8" customFormat="1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</row>
    <row r="223" spans="1:13" s="8" customFormat="1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</row>
    <row r="224" spans="1:13" s="8" customFormat="1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</row>
    <row r="225" spans="2:13" s="8" customFormat="1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</row>
    <row r="226" spans="2:13" s="8" customFormat="1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</row>
    <row r="227" spans="2:13" s="8" customFormat="1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</row>
    <row r="228" spans="2:13" s="8" customFormat="1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</row>
    <row r="229" spans="2:13" s="8" customFormat="1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</row>
    <row r="230" spans="2:13" s="8" customFormat="1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</row>
    <row r="231" spans="2:13" s="8" customFormat="1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</row>
    <row r="232" spans="2:13" s="8" customFormat="1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</row>
    <row r="233" spans="2:13" s="8" customFormat="1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</row>
    <row r="234" spans="2:13" s="8" customFormat="1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</row>
    <row r="235" spans="2:13" s="8" customFormat="1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</row>
    <row r="236" spans="2:13" s="8" customFormat="1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</row>
    <row r="237" spans="2:13" s="8" customFormat="1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</row>
    <row r="238" spans="2:13" s="8" customFormat="1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</row>
    <row r="239" spans="2:13" s="8" customFormat="1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</row>
    <row r="240" spans="2:13" s="8" customFormat="1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</row>
    <row r="241" spans="2:13" s="8" customFormat="1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</row>
    <row r="242" spans="2:13" s="8" customFormat="1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</row>
    <row r="243" spans="2:13" s="8" customFormat="1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</row>
    <row r="244" spans="2:13" s="8" customFormat="1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</row>
    <row r="245" spans="2:13" s="8" customFormat="1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</row>
    <row r="246" spans="2:13" s="8" customFormat="1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</row>
    <row r="247" spans="2:13" s="8" customFormat="1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</row>
    <row r="248" spans="2:13" s="8" customFormat="1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</row>
    <row r="249" spans="2:13" s="8" customFormat="1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</row>
    <row r="250" spans="2:13" s="8" customFormat="1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</row>
    <row r="251" spans="2:13" s="8" customFormat="1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</row>
    <row r="252" spans="2:13" s="8" customFormat="1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</row>
    <row r="253" spans="2:13" s="8" customFormat="1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</row>
    <row r="254" spans="2:13" s="8" customFormat="1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</row>
    <row r="255" spans="2:13" s="8" customFormat="1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</row>
    <row r="256" spans="2:13" s="8" customFormat="1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</row>
    <row r="257" spans="2:13" s="8" customFormat="1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</row>
    <row r="258" spans="2:13" s="8" customFormat="1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</row>
    <row r="259" spans="2:13" s="8" customFormat="1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</row>
    <row r="260" spans="2:13" s="8" customFormat="1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</row>
    <row r="261" spans="2:13" s="8" customFormat="1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</row>
    <row r="262" spans="2:13" s="8" customFormat="1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</row>
    <row r="263" spans="2:13" s="8" customFormat="1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</row>
    <row r="264" spans="2:13" s="8" customFormat="1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</row>
    <row r="265" spans="2:13" s="8" customFormat="1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</row>
    <row r="266" spans="2:13" s="8" customFormat="1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</row>
    <row r="267" spans="2:13" s="8" customFormat="1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</row>
    <row r="268" spans="2:13" s="8" customFormat="1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</row>
    <row r="269" spans="2:13" s="8" customFormat="1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</row>
    <row r="270" spans="2:13" s="8" customFormat="1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</row>
    <row r="271" spans="2:13" s="8" customFormat="1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</row>
    <row r="272" spans="2:13" s="8" customFormat="1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</row>
    <row r="273" spans="2:13" s="8" customFormat="1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</row>
    <row r="274" spans="2:13" s="8" customFormat="1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</row>
    <row r="275" spans="2:13" s="8" customFormat="1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</row>
    <row r="276" spans="2:13" s="8" customFormat="1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</row>
    <row r="277" spans="2:13" s="8" customFormat="1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</row>
    <row r="278" spans="2:13" s="8" customFormat="1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</row>
    <row r="279" spans="2:13" s="8" customFormat="1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</row>
    <row r="280" spans="2:13" s="8" customFormat="1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</row>
    <row r="281" spans="2:13" s="8" customFormat="1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</row>
    <row r="282" spans="2:13" s="8" customFormat="1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</row>
    <row r="283" spans="2:13" s="8" customFormat="1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</row>
    <row r="284" spans="2:13" s="8" customFormat="1"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</row>
    <row r="285" spans="2:13" s="8" customFormat="1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</row>
    <row r="286" spans="2:13" s="8" customFormat="1"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</row>
    <row r="287" spans="2:13" s="8" customFormat="1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</row>
    <row r="288" spans="2:13" s="8" customFormat="1"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</row>
    <row r="289" spans="2:13" s="8" customFormat="1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</row>
    <row r="290" spans="2:13" s="8" customFormat="1"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</row>
    <row r="291" spans="2:13" s="8" customFormat="1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</row>
    <row r="292" spans="2:13" s="8" customFormat="1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</row>
    <row r="293" spans="2:13" s="8" customFormat="1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</row>
    <row r="294" spans="2:13" s="8" customFormat="1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</row>
    <row r="295" spans="2:13" s="8" customFormat="1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</row>
    <row r="296" spans="2:13" s="8" customFormat="1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</row>
    <row r="297" spans="2:13" s="8" customFormat="1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</row>
    <row r="298" spans="2:13" s="8" customFormat="1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</row>
    <row r="299" spans="2:13" s="8" customFormat="1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</row>
    <row r="300" spans="2:13" s="8" customFormat="1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</row>
    <row r="301" spans="2:13" s="8" customFormat="1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</row>
    <row r="302" spans="2:13" s="8" customFormat="1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</row>
    <row r="303" spans="2:13" s="8" customFormat="1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</row>
    <row r="304" spans="2:13" s="8" customFormat="1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</row>
    <row r="305" spans="2:13" s="8" customFormat="1"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</row>
    <row r="306" spans="2:13" s="8" customFormat="1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</row>
    <row r="307" spans="2:13" s="8" customFormat="1"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</row>
    <row r="308" spans="2:13" s="8" customFormat="1"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</row>
    <row r="309" spans="2:13" s="8" customFormat="1"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</row>
    <row r="310" spans="2:13" s="8" customFormat="1"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</row>
    <row r="311" spans="2:13" s="8" customFormat="1"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</row>
    <row r="312" spans="2:13" s="8" customFormat="1"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</row>
    <row r="313" spans="2:13" s="8" customFormat="1"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</row>
    <row r="314" spans="2:13" s="8" customFormat="1"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</row>
    <row r="315" spans="2:13" s="8" customFormat="1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</row>
    <row r="316" spans="2:13" s="8" customFormat="1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</row>
    <row r="317" spans="2:13" s="8" customFormat="1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</row>
    <row r="318" spans="2:13" s="8" customFormat="1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</row>
    <row r="319" spans="2:13" s="8" customFormat="1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</row>
    <row r="320" spans="2:13" s="8" customFormat="1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</row>
    <row r="321" spans="2:13" s="8" customFormat="1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</row>
    <row r="322" spans="2:13" s="8" customFormat="1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</row>
    <row r="323" spans="2:13" s="8" customFormat="1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</row>
    <row r="324" spans="2:13" s="8" customFormat="1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</row>
    <row r="325" spans="2:13" s="8" customFormat="1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</row>
    <row r="326" spans="2:13" s="8" customFormat="1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</row>
    <row r="327" spans="2:13" s="8" customFormat="1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</row>
    <row r="328" spans="2:13" s="8" customFormat="1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</row>
    <row r="329" spans="2:13" s="8" customFormat="1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</row>
    <row r="330" spans="2:13" s="8" customFormat="1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</row>
    <row r="331" spans="2:13" s="8" customFormat="1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</row>
    <row r="332" spans="2:13" s="8" customFormat="1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</row>
    <row r="333" spans="2:13" s="8" customFormat="1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</row>
    <row r="334" spans="2:13" s="8" customFormat="1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</row>
    <row r="335" spans="2:13" s="8" customFormat="1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</row>
    <row r="336" spans="2:13" s="8" customFormat="1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</row>
    <row r="337" spans="2:13" s="8" customFormat="1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</row>
    <row r="338" spans="2:13" s="8" customFormat="1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</row>
    <row r="339" spans="2:13" s="8" customFormat="1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</row>
    <row r="340" spans="2:13" s="8" customFormat="1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</row>
    <row r="341" spans="2:13" s="8" customFormat="1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</row>
    <row r="342" spans="2:13" s="8" customFormat="1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</row>
    <row r="343" spans="2:13" s="8" customFormat="1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</row>
    <row r="344" spans="2:13" s="8" customFormat="1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</row>
    <row r="345" spans="2:13" s="8" customFormat="1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</row>
    <row r="346" spans="2:13" s="8" customFormat="1"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</row>
    <row r="347" spans="2:13" s="8" customFormat="1"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</row>
    <row r="348" spans="2:13" s="8" customFormat="1"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</row>
    <row r="349" spans="2:13" s="8" customFormat="1"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</row>
    <row r="350" spans="2:13" s="8" customFormat="1"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</row>
    <row r="351" spans="2:13" s="8" customFormat="1"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</row>
    <row r="352" spans="2:13" s="8" customFormat="1"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</row>
    <row r="353" spans="2:13" s="8" customFormat="1"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</row>
    <row r="354" spans="2:13" s="8" customFormat="1"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</row>
    <row r="355" spans="2:13" s="8" customFormat="1"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</row>
    <row r="356" spans="2:13" s="8" customFormat="1"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</row>
    <row r="357" spans="2:13" s="8" customFormat="1"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</row>
    <row r="358" spans="2:13" s="8" customFormat="1"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</row>
    <row r="359" spans="2:13" s="8" customFormat="1"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</row>
    <row r="360" spans="2:13" s="8" customFormat="1"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</row>
    <row r="361" spans="2:13" s="8" customFormat="1"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</row>
    <row r="362" spans="2:13" s="8" customFormat="1"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</row>
    <row r="363" spans="2:13" s="8" customFormat="1"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</row>
    <row r="364" spans="2:13" s="8" customFormat="1"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</row>
    <row r="365" spans="2:13" s="8" customFormat="1"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</row>
    <row r="366" spans="2:13" s="8" customFormat="1"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</row>
    <row r="367" spans="2:13" s="8" customFormat="1"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</row>
    <row r="368" spans="2:13" s="8" customFormat="1"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</row>
    <row r="369" spans="2:13" s="8" customFormat="1"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</row>
    <row r="370" spans="2:13" s="8" customFormat="1"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</row>
    <row r="371" spans="2:13" s="8" customFormat="1"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</row>
    <row r="372" spans="2:13" s="8" customFormat="1"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</row>
    <row r="373" spans="2:13" s="8" customFormat="1"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</row>
    <row r="374" spans="2:13" s="8" customFormat="1"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</row>
    <row r="375" spans="2:13" s="8" customFormat="1"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</row>
    <row r="376" spans="2:13" s="8" customFormat="1"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</row>
    <row r="377" spans="2:13" s="8" customFormat="1"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</row>
    <row r="378" spans="2:13" s="8" customFormat="1"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</row>
    <row r="379" spans="2:13" s="8" customFormat="1"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</row>
    <row r="380" spans="2:13" s="8" customFormat="1"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</row>
    <row r="381" spans="2:13" s="8" customFormat="1"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</row>
    <row r="382" spans="2:13" s="8" customFormat="1"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</row>
    <row r="383" spans="2:13" s="8" customFormat="1"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</row>
    <row r="384" spans="2:13" s="8" customFormat="1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</row>
    <row r="385" spans="2:13" s="8" customFormat="1"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</row>
    <row r="386" spans="2:13" s="8" customFormat="1"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</row>
    <row r="387" spans="2:13" s="8" customFormat="1"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</row>
    <row r="388" spans="2:13" s="8" customFormat="1"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</row>
    <row r="389" spans="2:13" s="8" customFormat="1"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</row>
    <row r="390" spans="2:13" s="8" customFormat="1"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</row>
    <row r="391" spans="2:13" s="8" customFormat="1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</row>
    <row r="392" spans="2:13" s="8" customFormat="1"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</row>
    <row r="393" spans="2:13" s="8" customFormat="1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</row>
    <row r="394" spans="2:13" s="8" customFormat="1"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</row>
    <row r="395" spans="2:13" s="8" customFormat="1"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</row>
    <row r="396" spans="2:13" s="8" customFormat="1"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</row>
    <row r="397" spans="2:13" s="8" customFormat="1"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</row>
    <row r="398" spans="2:13" s="8" customFormat="1"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</row>
    <row r="399" spans="2:13" s="8" customFormat="1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</row>
    <row r="400" spans="2:13" s="8" customFormat="1"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</row>
    <row r="401" spans="2:13" s="8" customFormat="1"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</row>
    <row r="402" spans="2:13" s="8" customFormat="1"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</row>
    <row r="403" spans="2:13" s="8" customFormat="1"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</row>
    <row r="404" spans="2:13" s="8" customFormat="1"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</row>
    <row r="405" spans="2:13" s="8" customFormat="1"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</row>
    <row r="406" spans="2:13" s="8" customFormat="1"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</row>
    <row r="407" spans="2:13" s="8" customFormat="1"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</row>
    <row r="408" spans="2:13" s="8" customFormat="1"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</row>
    <row r="409" spans="2:13" s="8" customFormat="1"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</row>
    <row r="410" spans="2:13" s="8" customFormat="1"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</row>
    <row r="411" spans="2:13" s="8" customFormat="1"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</row>
    <row r="412" spans="2:13" s="8" customFormat="1"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</row>
    <row r="413" spans="2:13" s="8" customFormat="1"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</row>
    <row r="414" spans="2:13" s="8" customFormat="1"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</row>
    <row r="415" spans="2:13" s="8" customFormat="1"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</row>
    <row r="416" spans="2:13" s="8" customFormat="1"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</row>
    <row r="417" spans="2:13" s="8" customFormat="1"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</row>
    <row r="418" spans="2:13" s="8" customFormat="1"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</row>
    <row r="419" spans="2:13" s="8" customFormat="1"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</row>
    <row r="420" spans="2:13" s="8" customFormat="1"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</row>
    <row r="421" spans="2:13" s="8" customFormat="1"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</row>
    <row r="422" spans="2:13" s="8" customFormat="1"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</row>
    <row r="423" spans="2:13" s="8" customFormat="1"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</row>
    <row r="424" spans="2:13" s="8" customFormat="1"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</row>
    <row r="425" spans="2:13" s="8" customFormat="1"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</row>
    <row r="426" spans="2:13" s="8" customFormat="1"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</row>
    <row r="427" spans="2:13" s="8" customFormat="1"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</row>
    <row r="428" spans="2:13" s="8" customFormat="1"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</row>
    <row r="429" spans="2:13" s="8" customFormat="1"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</row>
    <row r="430" spans="2:13" s="8" customFormat="1"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</row>
    <row r="431" spans="2:13" s="8" customFormat="1"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</row>
    <row r="432" spans="2:13" s="8" customFormat="1"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</row>
    <row r="433" spans="2:13" s="8" customFormat="1"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</row>
    <row r="434" spans="2:13" s="8" customFormat="1"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</row>
    <row r="435" spans="2:13" s="8" customFormat="1"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</row>
    <row r="436" spans="2:13" s="8" customFormat="1"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</row>
    <row r="437" spans="2:13" s="8" customFormat="1"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</row>
    <row r="438" spans="2:13" s="8" customFormat="1"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</row>
    <row r="439" spans="2:13" s="8" customFormat="1"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</row>
    <row r="440" spans="2:13" s="8" customFormat="1"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</row>
    <row r="441" spans="2:13" s="8" customFormat="1"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</row>
    <row r="442" spans="2:13" s="8" customFormat="1"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</row>
    <row r="443" spans="2:13" s="8" customFormat="1"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</row>
    <row r="444" spans="2:13" s="8" customFormat="1"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</row>
    <row r="445" spans="2:13" s="8" customFormat="1"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</row>
    <row r="446" spans="2:13" s="8" customFormat="1"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</row>
    <row r="447" spans="2:13" s="8" customFormat="1"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</row>
    <row r="448" spans="2:13" s="8" customFormat="1"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</row>
    <row r="449" spans="2:13" s="8" customFormat="1"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</row>
    <row r="450" spans="2:13" s="8" customFormat="1"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</row>
    <row r="451" spans="2:13" s="8" customFormat="1"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</row>
    <row r="452" spans="2:13" s="8" customFormat="1"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</row>
    <row r="453" spans="2:13" s="8" customFormat="1"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</row>
    <row r="454" spans="2:13" s="8" customFormat="1"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</row>
    <row r="455" spans="2:13" s="8" customFormat="1"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</row>
    <row r="456" spans="2:13" s="8" customFormat="1"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</row>
    <row r="457" spans="2:13" s="8" customFormat="1"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</row>
    <row r="458" spans="2:13" s="8" customFormat="1"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</row>
    <row r="459" spans="2:13" s="8" customFormat="1"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</row>
    <row r="460" spans="2:13" s="8" customFormat="1"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</row>
    <row r="461" spans="2:13" s="8" customFormat="1"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</row>
    <row r="462" spans="2:13" s="8" customFormat="1"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</row>
    <row r="463" spans="2:13" s="8" customFormat="1"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</row>
    <row r="464" spans="2:13" s="8" customFormat="1"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</row>
    <row r="465" spans="2:13" s="8" customFormat="1"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</row>
    <row r="466" spans="2:13" s="8" customFormat="1"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</row>
    <row r="467" spans="2:13" s="8" customFormat="1"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</row>
    <row r="468" spans="2:13" s="8" customFormat="1"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</row>
    <row r="469" spans="2:13" s="8" customFormat="1"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</row>
    <row r="470" spans="2:13" s="8" customFormat="1"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</row>
    <row r="471" spans="2:13" s="8" customFormat="1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</row>
    <row r="472" spans="2:13" s="8" customFormat="1"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</row>
    <row r="473" spans="2:13" s="8" customFormat="1"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</row>
    <row r="474" spans="2:13" s="8" customFormat="1"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</row>
    <row r="475" spans="2:13" s="8" customFormat="1"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</row>
    <row r="476" spans="2:13" s="8" customFormat="1"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</row>
    <row r="477" spans="2:13" s="8" customFormat="1"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</row>
    <row r="478" spans="2:13" s="8" customFormat="1"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</row>
    <row r="479" spans="2:13" s="8" customFormat="1"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</row>
    <row r="480" spans="2:13" s="8" customFormat="1"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</row>
    <row r="481" spans="2:13" s="8" customFormat="1"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</row>
    <row r="482" spans="2:13" s="8" customFormat="1"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</row>
    <row r="483" spans="2:13" s="8" customFormat="1"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</row>
    <row r="484" spans="2:13" s="8" customFormat="1"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</row>
    <row r="485" spans="2:13" s="8" customFormat="1"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</row>
    <row r="486" spans="2:13" s="8" customFormat="1"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</row>
    <row r="487" spans="2:13" s="8" customFormat="1"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</row>
    <row r="488" spans="2:13" s="8" customFormat="1"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</row>
    <row r="489" spans="2:13" s="8" customFormat="1"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</row>
    <row r="490" spans="2:13" s="8" customFormat="1"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</row>
    <row r="491" spans="2:13" s="8" customFormat="1"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</row>
    <row r="492" spans="2:13" s="8" customFormat="1"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</row>
    <row r="493" spans="2:13" s="8" customFormat="1"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</row>
    <row r="494" spans="2:13" s="8" customFormat="1"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</row>
    <row r="495" spans="2:13" s="8" customFormat="1"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</row>
    <row r="496" spans="2:13" s="8" customFormat="1"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</row>
    <row r="497" spans="2:13" s="8" customFormat="1"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</row>
    <row r="498" spans="2:13" s="8" customFormat="1"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</row>
    <row r="499" spans="2:13" s="8" customFormat="1"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</row>
    <row r="500" spans="2:13" s="8" customFormat="1"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</row>
    <row r="501" spans="2:13" s="8" customFormat="1"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</row>
    <row r="502" spans="2:13" s="8" customFormat="1"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</row>
    <row r="503" spans="2:13" s="8" customFormat="1"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</row>
    <row r="504" spans="2:13" s="8" customFormat="1"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</row>
    <row r="505" spans="2:13" s="8" customFormat="1"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</row>
    <row r="506" spans="2:13" s="8" customFormat="1"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</row>
    <row r="507" spans="2:13" s="8" customFormat="1"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</row>
    <row r="508" spans="2:13" s="8" customFormat="1"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</row>
    <row r="509" spans="2:13" s="8" customFormat="1"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</row>
    <row r="510" spans="2:13" s="8" customFormat="1"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</row>
    <row r="511" spans="2:13" s="8" customFormat="1"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</row>
    <row r="512" spans="2:13" s="8" customFormat="1"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</row>
    <row r="513" spans="2:13" s="8" customFormat="1"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</row>
    <row r="514" spans="2:13" s="8" customFormat="1"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</row>
    <row r="515" spans="2:13" s="8" customFormat="1"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</row>
    <row r="516" spans="2:13" s="8" customFormat="1"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</row>
    <row r="517" spans="2:13" s="8" customFormat="1"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</row>
    <row r="518" spans="2:13" s="8" customFormat="1"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</row>
    <row r="519" spans="2:13" s="8" customFormat="1"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</row>
    <row r="520" spans="2:13" s="8" customFormat="1"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</row>
    <row r="521" spans="2:13" s="8" customFormat="1"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</row>
    <row r="522" spans="2:13" s="8" customFormat="1"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</row>
    <row r="523" spans="2:13" s="8" customFormat="1"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</row>
    <row r="524" spans="2:13" s="8" customFormat="1"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</row>
    <row r="525" spans="2:13" s="8" customFormat="1"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</row>
    <row r="526" spans="2:13" s="8" customFormat="1"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</row>
    <row r="527" spans="2:13" s="8" customFormat="1"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</row>
    <row r="528" spans="2:13" s="8" customFormat="1"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</row>
    <row r="529" spans="2:13" s="8" customFormat="1"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</row>
    <row r="530" spans="2:13" s="8" customFormat="1"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</row>
    <row r="531" spans="2:13" s="8" customFormat="1"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</row>
    <row r="532" spans="2:13" s="8" customFormat="1"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</row>
    <row r="533" spans="2:13" s="8" customFormat="1"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</row>
    <row r="534" spans="2:13" s="8" customFormat="1"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</row>
    <row r="535" spans="2:13" s="8" customFormat="1"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</row>
    <row r="536" spans="2:13" s="8" customFormat="1"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</row>
    <row r="537" spans="2:13" s="8" customFormat="1"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</row>
    <row r="538" spans="2:13" s="8" customFormat="1"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</row>
    <row r="539" spans="2:13" s="8" customFormat="1"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</row>
    <row r="540" spans="2:13" s="8" customFormat="1"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</row>
    <row r="541" spans="2:13" s="8" customFormat="1"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</row>
    <row r="542" spans="2:13" s="8" customFormat="1"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</row>
    <row r="543" spans="2:13" s="8" customFormat="1"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</row>
    <row r="544" spans="2:13" s="8" customFormat="1"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</row>
    <row r="545" spans="2:13" s="8" customFormat="1"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</row>
    <row r="546" spans="2:13" s="8" customFormat="1"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</row>
    <row r="547" spans="2:13" s="8" customFormat="1"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</row>
    <row r="548" spans="2:13" s="8" customFormat="1"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</row>
    <row r="549" spans="2:13" s="8" customFormat="1"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</row>
    <row r="550" spans="2:13" s="8" customFormat="1"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</row>
    <row r="551" spans="2:13" s="8" customFormat="1"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</row>
    <row r="552" spans="2:13" s="8" customFormat="1"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</row>
    <row r="553" spans="2:13" s="8" customFormat="1"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</row>
    <row r="554" spans="2:13" s="8" customFormat="1"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</row>
    <row r="555" spans="2:13" s="8" customFormat="1"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</row>
    <row r="556" spans="2:13" s="8" customFormat="1"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</row>
    <row r="557" spans="2:13" s="8" customFormat="1"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</row>
    <row r="558" spans="2:13" s="8" customFormat="1"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</row>
    <row r="559" spans="2:13" s="8" customFormat="1"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</row>
    <row r="560" spans="2:13" s="8" customFormat="1"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</row>
    <row r="561" spans="2:13" s="8" customFormat="1"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</row>
    <row r="562" spans="2:13" s="8" customFormat="1"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</row>
    <row r="563" spans="2:13" s="8" customFormat="1"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</row>
    <row r="564" spans="2:13" s="8" customFormat="1"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</row>
    <row r="565" spans="2:13" s="8" customFormat="1"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</row>
    <row r="566" spans="2:13" s="8" customFormat="1"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</row>
    <row r="567" spans="2:13" s="8" customFormat="1"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</row>
    <row r="568" spans="2:13" s="8" customFormat="1"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</row>
    <row r="569" spans="2:13" s="8" customFormat="1"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</row>
    <row r="570" spans="2:13" s="8" customFormat="1"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</row>
    <row r="571" spans="2:13" s="8" customFormat="1"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</row>
    <row r="572" spans="2:13" s="8" customFormat="1"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</row>
    <row r="573" spans="2:13" s="8" customFormat="1"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</row>
    <row r="574" spans="2:13" s="8" customFormat="1"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</row>
    <row r="575" spans="2:13" s="8" customFormat="1"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</row>
    <row r="576" spans="2:13" s="8" customFormat="1"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</row>
    <row r="577" spans="2:13" s="8" customFormat="1"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</row>
    <row r="578" spans="2:13" s="8" customFormat="1"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</row>
    <row r="579" spans="2:13" s="8" customFormat="1"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</row>
    <row r="580" spans="2:13" s="8" customFormat="1"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</row>
    <row r="581" spans="2:13" s="8" customFormat="1"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</row>
    <row r="582" spans="2:13" s="8" customFormat="1"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</row>
    <row r="583" spans="2:13" s="8" customFormat="1"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</row>
    <row r="584" spans="2:13" s="8" customFormat="1"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</row>
    <row r="585" spans="2:13" s="8" customFormat="1"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</row>
    <row r="586" spans="2:13" s="8" customFormat="1"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</row>
    <row r="587" spans="2:13" s="8" customFormat="1"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</row>
    <row r="588" spans="2:13" s="8" customFormat="1"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</row>
    <row r="589" spans="2:13" s="8" customFormat="1"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</row>
    <row r="590" spans="2:13" s="8" customFormat="1"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</row>
    <row r="591" spans="2:13" s="8" customFormat="1"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</row>
    <row r="592" spans="2:13" s="8" customFormat="1"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</row>
    <row r="593" spans="2:13" s="8" customFormat="1"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</row>
    <row r="594" spans="2:13" s="8" customFormat="1"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</row>
    <row r="595" spans="2:13" s="8" customFormat="1"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</row>
    <row r="596" spans="2:13" s="8" customFormat="1"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</row>
    <row r="597" spans="2:13" s="8" customFormat="1"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</row>
    <row r="598" spans="2:13" s="8" customFormat="1"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</row>
    <row r="599" spans="2:13" s="8" customFormat="1"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</row>
    <row r="600" spans="2:13" s="8" customFormat="1"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</row>
    <row r="601" spans="2:13" s="8" customFormat="1"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</row>
    <row r="602" spans="2:13" s="8" customFormat="1"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</row>
    <row r="603" spans="2:13" s="8" customFormat="1"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</row>
    <row r="604" spans="2:13" s="8" customFormat="1"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</row>
    <row r="605" spans="2:13" s="8" customFormat="1"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</row>
    <row r="606" spans="2:13" s="8" customFormat="1"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</row>
    <row r="607" spans="2:13" s="8" customFormat="1"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</row>
    <row r="608" spans="2:13" s="8" customFormat="1"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</row>
    <row r="609" spans="2:13" s="8" customFormat="1"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</row>
    <row r="610" spans="2:13" s="8" customFormat="1"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</row>
    <row r="611" spans="2:13" s="8" customFormat="1"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</row>
    <row r="612" spans="2:13" s="8" customFormat="1"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</row>
    <row r="613" spans="2:13" s="8" customFormat="1"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</row>
    <row r="614" spans="2:13" s="8" customFormat="1"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</row>
    <row r="615" spans="2:13" s="8" customFormat="1"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</row>
    <row r="616" spans="2:13" s="8" customFormat="1"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</row>
    <row r="617" spans="2:13" s="8" customFormat="1"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</row>
    <row r="618" spans="2:13" s="8" customFormat="1"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</row>
    <row r="619" spans="2:13" s="8" customFormat="1"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</row>
    <row r="620" spans="2:13" s="8" customFormat="1"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</row>
    <row r="621" spans="2:13" s="8" customFormat="1"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</row>
    <row r="622" spans="2:13" s="8" customFormat="1"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</row>
    <row r="623" spans="2:13" s="8" customFormat="1"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</row>
    <row r="624" spans="2:13" s="8" customFormat="1"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</row>
    <row r="625" spans="2:13" s="8" customFormat="1"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</row>
    <row r="626" spans="2:13" s="8" customFormat="1"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</row>
    <row r="627" spans="2:13" s="8" customFormat="1"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</row>
    <row r="628" spans="2:13" s="8" customFormat="1"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</row>
    <row r="629" spans="2:13" s="8" customFormat="1"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</row>
    <row r="630" spans="2:13" s="8" customFormat="1"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</row>
    <row r="631" spans="2:13" s="8" customFormat="1"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</row>
    <row r="632" spans="2:13" s="8" customFormat="1"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</row>
    <row r="633" spans="2:13" s="8" customFormat="1"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</row>
    <row r="634" spans="2:13" s="8" customFormat="1"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</row>
    <row r="635" spans="2:13" s="8" customFormat="1"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</row>
    <row r="636" spans="2:13" s="8" customFormat="1"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</row>
    <row r="637" spans="2:13" s="8" customFormat="1"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</row>
    <row r="638" spans="2:13" s="8" customFormat="1"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</row>
    <row r="639" spans="2:13" s="8" customFormat="1"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</row>
    <row r="640" spans="2:13" s="8" customFormat="1"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</row>
    <row r="641" spans="2:13" s="8" customFormat="1"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</row>
    <row r="642" spans="2:13" s="8" customFormat="1"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</row>
    <row r="643" spans="2:13" s="8" customFormat="1"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</row>
    <row r="644" spans="2:13" s="8" customFormat="1"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</row>
    <row r="645" spans="2:13" s="8" customFormat="1"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</row>
    <row r="646" spans="2:13" s="8" customFormat="1"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</row>
    <row r="647" spans="2:13" s="8" customFormat="1"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</row>
    <row r="648" spans="2:13" s="8" customFormat="1"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</row>
    <row r="649" spans="2:13" s="8" customFormat="1"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</row>
    <row r="650" spans="2:13" s="8" customFormat="1"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</row>
    <row r="651" spans="2:13" s="8" customFormat="1"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</row>
    <row r="652" spans="2:13" s="8" customFormat="1"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</row>
    <row r="653" spans="2:13" s="8" customFormat="1"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</row>
    <row r="654" spans="2:13" s="8" customFormat="1"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</row>
    <row r="655" spans="2:13" s="8" customFormat="1"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</row>
    <row r="656" spans="2:13" s="8" customFormat="1"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</row>
    <row r="657" spans="2:13" s="8" customFormat="1"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</row>
    <row r="658" spans="2:13" s="8" customFormat="1"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</row>
    <row r="659" spans="2:13" s="8" customFormat="1"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</row>
    <row r="660" spans="2:13" s="8" customFormat="1"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</row>
    <row r="661" spans="2:13" s="8" customFormat="1"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</row>
    <row r="662" spans="2:13" s="8" customFormat="1"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</row>
    <row r="663" spans="2:13" s="8" customFormat="1"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</row>
    <row r="664" spans="2:13" s="8" customFormat="1"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</row>
    <row r="665" spans="2:13" s="8" customFormat="1"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</row>
    <row r="666" spans="2:13" s="8" customFormat="1"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</row>
    <row r="667" spans="2:13" s="8" customFormat="1"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</row>
    <row r="668" spans="2:13" s="8" customFormat="1"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</row>
    <row r="669" spans="2:13" s="8" customFormat="1"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</row>
    <row r="670" spans="2:13" s="8" customFormat="1"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</row>
    <row r="671" spans="2:13" s="8" customFormat="1"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</row>
    <row r="672" spans="2:13" s="8" customFormat="1"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</row>
    <row r="673" spans="2:13" s="8" customFormat="1"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</row>
    <row r="674" spans="2:13" s="8" customFormat="1"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</row>
    <row r="675" spans="2:13" s="8" customFormat="1"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</row>
    <row r="676" spans="2:13" s="8" customFormat="1"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</row>
    <row r="677" spans="2:13" s="8" customFormat="1"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</row>
    <row r="678" spans="2:13" s="8" customFormat="1"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</row>
    <row r="679" spans="2:13" s="8" customFormat="1"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</row>
    <row r="680" spans="2:13" s="8" customFormat="1"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</row>
    <row r="681" spans="2:13" s="8" customFormat="1"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</row>
    <row r="682" spans="2:13" s="8" customFormat="1"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</row>
    <row r="683" spans="2:13" s="8" customFormat="1"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</row>
    <row r="684" spans="2:13" s="8" customFormat="1"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</row>
    <row r="685" spans="2:13" s="8" customFormat="1"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</row>
    <row r="686" spans="2:13" s="8" customFormat="1"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</row>
    <row r="687" spans="2:13" s="8" customFormat="1"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</row>
    <row r="688" spans="2:13" s="8" customFormat="1"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</row>
    <row r="689" spans="2:13" s="8" customFormat="1"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</row>
    <row r="690" spans="2:13" s="8" customFormat="1"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</row>
    <row r="691" spans="2:13" s="8" customFormat="1"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</row>
    <row r="692" spans="2:13" s="8" customFormat="1"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</row>
    <row r="693" spans="2:13" s="8" customFormat="1"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</row>
    <row r="694" spans="2:13" s="8" customFormat="1"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</row>
    <row r="695" spans="2:13" s="8" customFormat="1"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</row>
    <row r="696" spans="2:13" s="8" customFormat="1"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</row>
    <row r="697" spans="2:13" s="8" customFormat="1"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</row>
    <row r="698" spans="2:13" s="8" customFormat="1"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</row>
    <row r="699" spans="2:13" s="8" customFormat="1"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</row>
    <row r="700" spans="2:13" s="8" customFormat="1"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</row>
    <row r="701" spans="2:13" s="8" customFormat="1"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</row>
    <row r="702" spans="2:13" s="8" customFormat="1"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</row>
    <row r="703" spans="2:13" s="8" customFormat="1"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</row>
    <row r="704" spans="2:13" s="8" customFormat="1"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</row>
    <row r="705" spans="2:13" s="8" customFormat="1"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</row>
    <row r="706" spans="2:13" s="8" customFormat="1"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</row>
    <row r="707" spans="2:13" s="8" customFormat="1"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</row>
    <row r="708" spans="2:13" s="8" customFormat="1"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</row>
    <row r="709" spans="2:13" s="8" customFormat="1"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</row>
    <row r="710" spans="2:13" s="8" customFormat="1"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</row>
    <row r="711" spans="2:13" s="8" customFormat="1"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</row>
    <row r="712" spans="2:13" s="8" customFormat="1"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</row>
    <row r="713" spans="2:13" s="8" customFormat="1"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</row>
    <row r="714" spans="2:13" s="8" customFormat="1"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</row>
    <row r="715" spans="2:13" s="8" customFormat="1"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</row>
    <row r="716" spans="2:13" s="8" customFormat="1"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</row>
    <row r="717" spans="2:13" s="8" customFormat="1"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</row>
    <row r="718" spans="2:13" s="8" customFormat="1"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</row>
    <row r="719" spans="2:13" s="8" customFormat="1"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</row>
    <row r="720" spans="2:13" s="8" customFormat="1"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</row>
    <row r="721" spans="2:13" s="8" customFormat="1"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</row>
    <row r="722" spans="2:13" s="8" customFormat="1"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</row>
    <row r="723" spans="2:13" s="8" customFormat="1"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</row>
    <row r="724" spans="2:13" s="8" customFormat="1"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</row>
    <row r="725" spans="2:13" s="8" customFormat="1"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</row>
    <row r="726" spans="2:13" s="8" customFormat="1"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</row>
    <row r="727" spans="2:13" s="8" customFormat="1"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</row>
    <row r="728" spans="2:13" s="8" customFormat="1"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</row>
    <row r="729" spans="2:13" s="8" customFormat="1"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</row>
    <row r="730" spans="2:13" s="8" customFormat="1"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</row>
    <row r="731" spans="2:13" s="8" customFormat="1"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</row>
    <row r="732" spans="2:13" s="8" customFormat="1"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</row>
    <row r="733" spans="2:13" s="8" customFormat="1"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</row>
    <row r="734" spans="2:13" s="8" customFormat="1"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</row>
    <row r="735" spans="2:13" s="8" customFormat="1"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</row>
    <row r="736" spans="2:13" s="8" customFormat="1"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</row>
    <row r="737" spans="2:13" s="8" customFormat="1"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</row>
    <row r="738" spans="2:13" s="8" customFormat="1"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</row>
    <row r="739" spans="2:13" s="8" customFormat="1"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</row>
    <row r="740" spans="2:13" s="8" customFormat="1"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</row>
    <row r="741" spans="2:13" s="8" customFormat="1"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</row>
    <row r="742" spans="2:13" s="8" customFormat="1"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</row>
    <row r="743" spans="2:13" s="8" customFormat="1"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</row>
    <row r="744" spans="2:13" s="8" customFormat="1"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</row>
    <row r="745" spans="2:13" s="8" customFormat="1"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</row>
    <row r="746" spans="2:13" s="8" customFormat="1"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</row>
    <row r="747" spans="2:13" s="8" customFormat="1"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</row>
    <row r="748" spans="2:13" s="8" customFormat="1"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</row>
    <row r="749" spans="2:13" s="8" customFormat="1"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</row>
    <row r="750" spans="2:13" s="8" customFormat="1"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</row>
    <row r="751" spans="2:13" s="8" customFormat="1"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</row>
    <row r="752" spans="2:13" s="8" customFormat="1"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</row>
    <row r="753" spans="2:13" s="8" customFormat="1"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</row>
    <row r="754" spans="2:13" s="8" customFormat="1"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</row>
    <row r="755" spans="2:13" s="8" customFormat="1"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</row>
    <row r="756" spans="2:13" s="8" customFormat="1"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</row>
    <row r="757" spans="2:13" s="8" customFormat="1"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</row>
    <row r="758" spans="2:13" s="8" customFormat="1"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</row>
    <row r="759" spans="2:13" s="8" customFormat="1"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</row>
    <row r="760" spans="2:13" s="8" customFormat="1"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</row>
    <row r="761" spans="2:13" s="8" customFormat="1"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</row>
    <row r="762" spans="2:13" s="8" customFormat="1"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</row>
    <row r="763" spans="2:13" s="8" customFormat="1"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</row>
    <row r="764" spans="2:13" s="8" customFormat="1"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</row>
    <row r="765" spans="2:13" s="8" customFormat="1"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</row>
    <row r="766" spans="2:13" s="8" customFormat="1"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</row>
    <row r="767" spans="2:13" s="8" customFormat="1"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</row>
    <row r="768" spans="2:13" s="8" customFormat="1"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</row>
    <row r="769" spans="2:13" s="8" customFormat="1"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</row>
    <row r="770" spans="2:13" s="8" customFormat="1"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</row>
    <row r="771" spans="2:13" s="8" customFormat="1"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</row>
    <row r="772" spans="2:13" s="8" customFormat="1"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</row>
    <row r="773" spans="2:13" s="8" customFormat="1"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</row>
    <row r="774" spans="2:13" s="8" customFormat="1"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</row>
    <row r="775" spans="2:13" s="8" customFormat="1"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</row>
    <row r="776" spans="2:13" s="8" customFormat="1"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</row>
    <row r="777" spans="2:13" s="8" customFormat="1"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</row>
    <row r="778" spans="2:13" s="8" customFormat="1"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</row>
    <row r="779" spans="2:13" s="8" customFormat="1"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</row>
    <row r="780" spans="2:13" s="8" customFormat="1"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</row>
    <row r="781" spans="2:13" s="8" customFormat="1"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</row>
    <row r="782" spans="2:13" s="8" customFormat="1"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</row>
    <row r="783" spans="2:13" s="8" customFormat="1"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</row>
    <row r="784" spans="2:13" s="8" customFormat="1"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</row>
    <row r="785" spans="2:13" s="8" customFormat="1"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</row>
    <row r="786" spans="2:13" s="8" customFormat="1"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</row>
    <row r="787" spans="2:13" s="8" customFormat="1"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</row>
    <row r="788" spans="2:13" s="8" customFormat="1"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</row>
    <row r="789" spans="2:13" s="8" customFormat="1"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</row>
    <row r="790" spans="2:13" s="8" customFormat="1"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</row>
    <row r="791" spans="2:13" s="8" customFormat="1"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</row>
    <row r="792" spans="2:13" s="8" customFormat="1"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</row>
    <row r="793" spans="2:13" s="8" customFormat="1"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</row>
    <row r="794" spans="2:13" s="8" customFormat="1"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</row>
    <row r="795" spans="2:13" s="8" customFormat="1"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</row>
    <row r="796" spans="2:13" s="8" customFormat="1"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</row>
    <row r="797" spans="2:13" s="8" customFormat="1"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</row>
    <row r="798" spans="2:13" s="8" customFormat="1"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</row>
    <row r="799" spans="2:13" s="8" customFormat="1"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</row>
    <row r="800" spans="2:13" s="8" customFormat="1"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</row>
    <row r="801" spans="2:13" s="8" customFormat="1"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</row>
    <row r="802" spans="2:13" s="8" customFormat="1"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</row>
    <row r="803" spans="2:13" s="8" customFormat="1"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</row>
    <row r="804" spans="2:13" s="8" customFormat="1"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</row>
    <row r="805" spans="2:13" s="8" customFormat="1"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</row>
    <row r="806" spans="2:13" s="8" customFormat="1"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</row>
    <row r="807" spans="2:13" s="8" customFormat="1"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</row>
    <row r="808" spans="2:13" s="8" customFormat="1"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</row>
    <row r="809" spans="2:13" s="8" customFormat="1"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</row>
    <row r="810" spans="2:13" s="8" customFormat="1"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</row>
    <row r="811" spans="2:13" s="8" customFormat="1"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</row>
    <row r="812" spans="2:13" s="8" customFormat="1"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</row>
    <row r="813" spans="2:13" s="8" customFormat="1"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</row>
    <row r="814" spans="2:13" s="8" customFormat="1"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</row>
    <row r="815" spans="2:13" s="8" customFormat="1"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</row>
    <row r="816" spans="2:13" s="8" customFormat="1"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</row>
    <row r="817" spans="2:13" s="8" customFormat="1"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</row>
    <row r="818" spans="2:13" s="8" customFormat="1"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</row>
    <row r="819" spans="2:13" s="8" customFormat="1"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</row>
    <row r="820" spans="2:13" s="8" customFormat="1"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</row>
    <row r="821" spans="2:13" s="8" customFormat="1"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</row>
    <row r="822" spans="2:13" s="8" customFormat="1"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</row>
    <row r="823" spans="2:13" s="8" customFormat="1"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</row>
    <row r="824" spans="2:13" s="8" customFormat="1"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</row>
    <row r="825" spans="2:13" s="8" customFormat="1"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</row>
    <row r="826" spans="2:13" s="8" customFormat="1"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</row>
    <row r="827" spans="2:13" s="8" customFormat="1"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</row>
    <row r="828" spans="2:13" s="8" customFormat="1"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</row>
    <row r="829" spans="2:13" s="8" customFormat="1"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</row>
    <row r="830" spans="2:13" s="8" customFormat="1"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</row>
    <row r="831" spans="2:13" s="8" customFormat="1"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</row>
    <row r="832" spans="2:13" s="8" customFormat="1"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</row>
    <row r="833" spans="2:13" s="8" customFormat="1"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</row>
    <row r="834" spans="2:13" s="8" customFormat="1"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</row>
    <row r="835" spans="2:13" s="8" customFormat="1"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</row>
    <row r="836" spans="2:13" s="8" customFormat="1"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</row>
    <row r="837" spans="2:13" s="8" customFormat="1"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</row>
    <row r="838" spans="2:13" s="8" customFormat="1"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</row>
    <row r="839" spans="2:13" s="8" customFormat="1"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</row>
    <row r="840" spans="2:13" s="8" customFormat="1"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</row>
    <row r="841" spans="2:13" s="8" customFormat="1"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</row>
    <row r="842" spans="2:13" s="8" customFormat="1"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</row>
    <row r="843" spans="2:13" s="8" customFormat="1"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</row>
    <row r="844" spans="2:13" s="8" customFormat="1"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</row>
    <row r="845" spans="2:13" s="8" customFormat="1"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</row>
    <row r="846" spans="2:13" s="8" customFormat="1"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</row>
    <row r="847" spans="2:13" s="8" customFormat="1"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</row>
    <row r="848" spans="2:13" s="8" customFormat="1"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</row>
    <row r="849" spans="2:13" s="8" customFormat="1"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</row>
    <row r="850" spans="2:13" s="8" customFormat="1"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</row>
    <row r="851" spans="2:13" s="8" customFormat="1"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</row>
    <row r="852" spans="2:13" s="8" customFormat="1"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</row>
    <row r="853" spans="2:13" s="8" customFormat="1"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</row>
    <row r="854" spans="2:13" s="8" customFormat="1"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</row>
    <row r="855" spans="2:13" s="8" customFormat="1"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</row>
    <row r="856" spans="2:13" s="8" customFormat="1"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</row>
    <row r="857" spans="2:13" s="8" customFormat="1"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</row>
    <row r="858" spans="2:13" s="8" customFormat="1"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</row>
    <row r="859" spans="2:13" s="8" customFormat="1"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</row>
    <row r="860" spans="2:13" s="8" customFormat="1"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</row>
    <row r="861" spans="2:13" s="8" customFormat="1"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</row>
    <row r="862" spans="2:13" s="8" customFormat="1"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</row>
    <row r="863" spans="2:13" s="8" customFormat="1"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</row>
    <row r="864" spans="2:13" s="8" customFormat="1"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</row>
    <row r="865" spans="2:13" s="8" customFormat="1"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</row>
    <row r="866" spans="2:13" s="8" customFormat="1"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</row>
    <row r="867" spans="2:13" s="8" customFormat="1"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</row>
    <row r="868" spans="2:13" s="8" customFormat="1"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</row>
    <row r="869" spans="2:13" s="8" customFormat="1"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</row>
    <row r="870" spans="2:13" s="8" customFormat="1"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</row>
    <row r="871" spans="2:13" s="8" customFormat="1"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</row>
    <row r="872" spans="2:13" s="8" customFormat="1"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</row>
    <row r="873" spans="2:13" s="8" customFormat="1"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</row>
    <row r="874" spans="2:13" s="8" customFormat="1"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</row>
    <row r="875" spans="2:13" s="8" customFormat="1"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</row>
    <row r="876" spans="2:13" s="8" customFormat="1"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</row>
    <row r="877" spans="2:13" s="8" customFormat="1"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</row>
    <row r="878" spans="2:13" s="8" customFormat="1"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</row>
    <row r="879" spans="2:13" s="8" customFormat="1"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</row>
    <row r="880" spans="2:13" s="8" customFormat="1"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</row>
    <row r="881" spans="2:13" s="8" customFormat="1"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</row>
    <row r="882" spans="2:13" s="8" customFormat="1"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</row>
    <row r="883" spans="2:13" s="8" customFormat="1"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</row>
    <row r="884" spans="2:13" s="8" customFormat="1"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</row>
    <row r="885" spans="2:13" s="8" customFormat="1"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</row>
    <row r="886" spans="2:13" s="8" customFormat="1"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</row>
    <row r="887" spans="2:13" s="8" customFormat="1"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</row>
    <row r="888" spans="2:13" s="8" customFormat="1"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</row>
    <row r="889" spans="2:13" s="8" customFormat="1"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</row>
    <row r="890" spans="2:13" s="8" customFormat="1"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</row>
    <row r="891" spans="2:13" s="8" customFormat="1"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</row>
    <row r="892" spans="2:13" s="8" customFormat="1"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</row>
    <row r="893" spans="2:13" s="8" customFormat="1"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</row>
    <row r="894" spans="2:13" s="8" customFormat="1"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</row>
    <row r="895" spans="2:13" s="8" customFormat="1"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</row>
    <row r="896" spans="2:13" s="8" customFormat="1"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</row>
    <row r="897" spans="2:13" s="8" customFormat="1"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</row>
    <row r="898" spans="2:13" s="8" customFormat="1"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</row>
    <row r="899" spans="2:13" s="8" customFormat="1"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</row>
    <row r="900" spans="2:13" s="8" customFormat="1"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</row>
    <row r="901" spans="2:13" s="8" customFormat="1"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</row>
    <row r="902" spans="2:13" s="8" customFormat="1"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</row>
    <row r="903" spans="2:13" s="8" customFormat="1"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</row>
    <row r="904" spans="2:13" s="8" customFormat="1"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</row>
    <row r="905" spans="2:13" s="8" customFormat="1"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</row>
    <row r="906" spans="2:13" s="8" customFormat="1"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</row>
    <row r="907" spans="2:13" s="8" customFormat="1"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</row>
    <row r="908" spans="2:13" s="8" customFormat="1"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</row>
    <row r="909" spans="2:13" s="8" customFormat="1"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</row>
    <row r="910" spans="2:13" s="8" customFormat="1"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</row>
    <row r="911" spans="2:13" s="8" customFormat="1"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</row>
    <row r="912" spans="2:13" s="8" customFormat="1"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</row>
    <row r="913" spans="2:13" s="8" customFormat="1"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</row>
    <row r="914" spans="2:13" s="8" customFormat="1"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</row>
    <row r="915" spans="2:13" s="8" customFormat="1"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</row>
    <row r="916" spans="2:13" s="8" customFormat="1"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</row>
    <row r="917" spans="2:13" s="8" customFormat="1"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</row>
    <row r="918" spans="2:13" s="8" customFormat="1"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</row>
    <row r="919" spans="2:13" s="8" customFormat="1"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</row>
    <row r="920" spans="2:13" s="8" customFormat="1"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</row>
    <row r="921" spans="2:13" s="8" customFormat="1"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</row>
    <row r="922" spans="2:13" s="8" customFormat="1"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</row>
    <row r="923" spans="2:13" s="8" customFormat="1"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</row>
    <row r="924" spans="2:13" s="8" customFormat="1"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</row>
    <row r="925" spans="2:13" s="8" customFormat="1"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</row>
    <row r="926" spans="2:13" s="8" customFormat="1"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</row>
    <row r="927" spans="2:13" s="8" customFormat="1"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</row>
    <row r="928" spans="2:13" s="8" customFormat="1"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</row>
    <row r="929" spans="2:13" s="8" customFormat="1"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</row>
    <row r="930" spans="2:13" s="8" customFormat="1"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</row>
    <row r="931" spans="2:13" s="8" customFormat="1"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</row>
    <row r="932" spans="2:13" s="8" customFormat="1"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</row>
    <row r="933" spans="2:13" s="8" customFormat="1"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</row>
    <row r="934" spans="2:13" s="8" customFormat="1"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</row>
    <row r="935" spans="2:13" s="8" customFormat="1"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</row>
    <row r="936" spans="2:13" s="8" customFormat="1"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</row>
    <row r="937" spans="2:13" s="8" customFormat="1"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</row>
    <row r="938" spans="2:13" s="8" customFormat="1"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</row>
    <row r="939" spans="2:13" s="8" customFormat="1"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</row>
    <row r="940" spans="2:13" s="8" customFormat="1"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</row>
    <row r="941" spans="2:13" s="8" customFormat="1"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</row>
    <row r="942" spans="2:13" s="8" customFormat="1"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</row>
    <row r="943" spans="2:13" s="8" customFormat="1"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</row>
    <row r="944" spans="2:13" s="8" customFormat="1"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</row>
    <row r="945" spans="2:13" s="8" customFormat="1"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</row>
    <row r="946" spans="2:13" s="8" customFormat="1"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</row>
    <row r="947" spans="2:13" s="8" customFormat="1"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</row>
    <row r="948" spans="2:13" s="8" customFormat="1"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</row>
    <row r="949" spans="2:13" s="8" customFormat="1"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</row>
    <row r="950" spans="2:13" s="8" customFormat="1"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</row>
    <row r="951" spans="2:13" s="8" customFormat="1"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</row>
    <row r="952" spans="2:13" s="8" customFormat="1"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</row>
    <row r="953" spans="2:13" s="8" customFormat="1"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</row>
    <row r="954" spans="2:13" s="8" customFormat="1"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</row>
    <row r="955" spans="2:13" s="8" customFormat="1"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</row>
    <row r="956" spans="2:13" s="8" customFormat="1"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</row>
    <row r="957" spans="2:13" s="8" customFormat="1"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</row>
    <row r="958" spans="2:13" s="8" customFormat="1"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</row>
    <row r="959" spans="2:13" s="8" customFormat="1"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</row>
    <row r="960" spans="2:13" s="8" customFormat="1"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</row>
    <row r="961" spans="2:13" s="8" customFormat="1"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</row>
    <row r="962" spans="2:13" s="8" customFormat="1"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</row>
    <row r="963" spans="2:13" s="8" customFormat="1"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</row>
    <row r="964" spans="2:13" s="8" customFormat="1"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</row>
    <row r="965" spans="2:13" s="8" customFormat="1"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</row>
    <row r="966" spans="2:13" s="8" customFormat="1"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</row>
    <row r="967" spans="2:13" s="8" customFormat="1"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</row>
    <row r="968" spans="2:13" s="8" customFormat="1"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</row>
    <row r="969" spans="2:13" s="8" customFormat="1"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</row>
    <row r="970" spans="2:13" s="8" customFormat="1"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</row>
    <row r="971" spans="2:13" s="8" customFormat="1"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</row>
    <row r="972" spans="2:13" s="8" customFormat="1"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</row>
    <row r="973" spans="2:13" s="8" customFormat="1"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</row>
    <row r="974" spans="2:13" s="8" customFormat="1"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</row>
    <row r="975" spans="2:13" s="8" customFormat="1"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</row>
    <row r="976" spans="2:13" s="8" customFormat="1"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</row>
    <row r="977" spans="2:13" s="8" customFormat="1"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</row>
    <row r="978" spans="2:13" s="8" customFormat="1"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</row>
    <row r="979" spans="2:13" s="8" customFormat="1"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</row>
    <row r="980" spans="2:13" s="8" customFormat="1"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</row>
    <row r="981" spans="2:13" s="8" customFormat="1"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</row>
    <row r="982" spans="2:13" s="8" customFormat="1"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</row>
    <row r="983" spans="2:13" s="8" customFormat="1"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</row>
    <row r="984" spans="2:13" s="8" customFormat="1"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</row>
    <row r="985" spans="2:13" s="8" customFormat="1"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</row>
    <row r="986" spans="2:13" s="8" customFormat="1"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</row>
    <row r="987" spans="2:13" s="8" customFormat="1"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</row>
    <row r="988" spans="2:13" s="8" customFormat="1"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</row>
    <row r="989" spans="2:13" s="8" customFormat="1"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</row>
    <row r="990" spans="2:13" s="8" customFormat="1"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</row>
    <row r="991" spans="2:13" s="8" customFormat="1"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</row>
    <row r="992" spans="2:13" s="8" customFormat="1"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</row>
    <row r="993" spans="2:13" s="8" customFormat="1"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</row>
    <row r="994" spans="2:13" s="8" customFormat="1"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</row>
    <row r="995" spans="2:13" s="8" customFormat="1"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</row>
    <row r="996" spans="2:13" s="8" customFormat="1"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</row>
    <row r="997" spans="2:13" s="8" customFormat="1"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</row>
    <row r="998" spans="2:13" s="8" customFormat="1"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</row>
    <row r="999" spans="2:13" s="8" customFormat="1"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</row>
    <row r="1000" spans="2:13" s="8" customFormat="1"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</row>
    <row r="1001" spans="2:13" s="8" customFormat="1"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</row>
    <row r="1002" spans="2:13" s="8" customFormat="1"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</row>
    <row r="1003" spans="2:13" s="8" customFormat="1"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</row>
    <row r="1004" spans="2:13" s="8" customFormat="1"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</row>
    <row r="1005" spans="2:13" s="8" customFormat="1">
      <c r="B1005" s="22"/>
      <c r="C1005" s="22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</row>
    <row r="1006" spans="2:13" s="8" customFormat="1">
      <c r="B1006" s="22"/>
      <c r="C1006" s="22"/>
      <c r="D1006" s="22"/>
      <c r="E1006" s="22"/>
      <c r="F1006" s="22"/>
      <c r="G1006" s="22"/>
      <c r="H1006" s="22"/>
      <c r="I1006" s="22"/>
      <c r="J1006" s="22"/>
      <c r="K1006" s="22"/>
      <c r="L1006" s="22"/>
      <c r="M1006" s="22"/>
    </row>
    <row r="1007" spans="2:13" s="8" customFormat="1">
      <c r="B1007" s="22"/>
      <c r="C1007" s="22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</row>
    <row r="1008" spans="2:13" s="8" customFormat="1">
      <c r="B1008" s="22"/>
      <c r="C1008" s="22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"/>
    </row>
    <row r="1009" spans="2:13" s="8" customFormat="1">
      <c r="B1009" s="22"/>
      <c r="C1009" s="22"/>
      <c r="D1009" s="22"/>
      <c r="E1009" s="22"/>
      <c r="F1009" s="22"/>
      <c r="G1009" s="22"/>
      <c r="H1009" s="22"/>
      <c r="I1009" s="22"/>
      <c r="J1009" s="22"/>
      <c r="K1009" s="22"/>
      <c r="L1009" s="22"/>
      <c r="M1009" s="22"/>
    </row>
    <row r="1010" spans="2:13" s="8" customFormat="1">
      <c r="B1010" s="22"/>
      <c r="C1010" s="22"/>
      <c r="D1010" s="22"/>
      <c r="E1010" s="22"/>
      <c r="F1010" s="22"/>
      <c r="G1010" s="22"/>
      <c r="H1010" s="22"/>
      <c r="I1010" s="22"/>
      <c r="J1010" s="22"/>
      <c r="K1010" s="22"/>
      <c r="L1010" s="22"/>
      <c r="M1010" s="22"/>
    </row>
    <row r="1011" spans="2:13" s="8" customFormat="1">
      <c r="B1011" s="22"/>
      <c r="C1011" s="22"/>
      <c r="D1011" s="22"/>
      <c r="E1011" s="22"/>
      <c r="F1011" s="22"/>
      <c r="G1011" s="22"/>
      <c r="H1011" s="22"/>
      <c r="I1011" s="22"/>
      <c r="J1011" s="22"/>
      <c r="K1011" s="22"/>
      <c r="L1011" s="22"/>
      <c r="M1011" s="22"/>
    </row>
    <row r="1012" spans="2:13" s="8" customFormat="1">
      <c r="B1012" s="22"/>
      <c r="C1012" s="22"/>
      <c r="D1012" s="22"/>
      <c r="E1012" s="22"/>
      <c r="F1012" s="22"/>
      <c r="G1012" s="22"/>
      <c r="H1012" s="22"/>
      <c r="I1012" s="22"/>
      <c r="J1012" s="22"/>
      <c r="K1012" s="22"/>
      <c r="L1012" s="22"/>
      <c r="M1012" s="22"/>
    </row>
    <row r="1013" spans="2:13" s="8" customFormat="1">
      <c r="B1013" s="22"/>
      <c r="C1013" s="22"/>
      <c r="D1013" s="22"/>
      <c r="E1013" s="22"/>
      <c r="F1013" s="22"/>
      <c r="G1013" s="22"/>
      <c r="H1013" s="22"/>
      <c r="I1013" s="22"/>
      <c r="J1013" s="22"/>
      <c r="K1013" s="22"/>
      <c r="L1013" s="22"/>
      <c r="M1013" s="22"/>
    </row>
    <row r="1014" spans="2:13" s="8" customFormat="1">
      <c r="B1014" s="22"/>
      <c r="C1014" s="22"/>
      <c r="D1014" s="22"/>
      <c r="E1014" s="22"/>
      <c r="F1014" s="22"/>
      <c r="G1014" s="22"/>
      <c r="H1014" s="22"/>
      <c r="I1014" s="22"/>
      <c r="J1014" s="22"/>
      <c r="K1014" s="22"/>
      <c r="L1014" s="22"/>
      <c r="M1014" s="22"/>
    </row>
    <row r="1015" spans="2:13" s="8" customFormat="1">
      <c r="B1015" s="22"/>
      <c r="C1015" s="22"/>
      <c r="D1015" s="22"/>
      <c r="E1015" s="22"/>
      <c r="F1015" s="22"/>
      <c r="G1015" s="22"/>
      <c r="H1015" s="22"/>
      <c r="I1015" s="22"/>
      <c r="J1015" s="22"/>
      <c r="K1015" s="22"/>
      <c r="L1015" s="22"/>
      <c r="M1015" s="22"/>
    </row>
    <row r="1016" spans="2:13" s="8" customFormat="1">
      <c r="B1016" s="22"/>
      <c r="C1016" s="22"/>
      <c r="D1016" s="22"/>
      <c r="E1016" s="22"/>
      <c r="F1016" s="22"/>
      <c r="G1016" s="22"/>
      <c r="H1016" s="22"/>
      <c r="I1016" s="22"/>
      <c r="J1016" s="22"/>
      <c r="K1016" s="22"/>
      <c r="L1016" s="22"/>
      <c r="M1016" s="22"/>
    </row>
    <row r="1017" spans="2:13" s="8" customFormat="1">
      <c r="B1017" s="22"/>
      <c r="C1017" s="22"/>
      <c r="D1017" s="22"/>
      <c r="E1017" s="22"/>
      <c r="F1017" s="22"/>
      <c r="G1017" s="22"/>
      <c r="H1017" s="22"/>
      <c r="I1017" s="22"/>
      <c r="J1017" s="22"/>
      <c r="K1017" s="22"/>
      <c r="L1017" s="22"/>
      <c r="M1017" s="22"/>
    </row>
    <row r="1018" spans="2:13" s="8" customFormat="1">
      <c r="B1018" s="22"/>
      <c r="C1018" s="22"/>
      <c r="D1018" s="22"/>
      <c r="E1018" s="22"/>
      <c r="F1018" s="22"/>
      <c r="G1018" s="22"/>
      <c r="H1018" s="22"/>
      <c r="I1018" s="22"/>
      <c r="J1018" s="22"/>
      <c r="K1018" s="22"/>
      <c r="L1018" s="22"/>
      <c r="M1018" s="22"/>
    </row>
    <row r="1019" spans="2:13" s="8" customFormat="1">
      <c r="B1019" s="22"/>
      <c r="C1019" s="22"/>
      <c r="D1019" s="22"/>
      <c r="E1019" s="22"/>
      <c r="F1019" s="22"/>
      <c r="G1019" s="22"/>
      <c r="H1019" s="22"/>
      <c r="I1019" s="22"/>
      <c r="J1019" s="22"/>
      <c r="K1019" s="22"/>
      <c r="L1019" s="22"/>
      <c r="M1019" s="22"/>
    </row>
    <row r="1020" spans="2:13" s="8" customFormat="1">
      <c r="B1020" s="22"/>
      <c r="C1020" s="22"/>
      <c r="D1020" s="22"/>
      <c r="E1020" s="22"/>
      <c r="F1020" s="22"/>
      <c r="G1020" s="22"/>
      <c r="H1020" s="22"/>
      <c r="I1020" s="22"/>
      <c r="J1020" s="22"/>
      <c r="K1020" s="22"/>
      <c r="L1020" s="22"/>
      <c r="M1020" s="22"/>
    </row>
    <row r="1021" spans="2:13" s="8" customFormat="1">
      <c r="B1021" s="22"/>
      <c r="C1021" s="22"/>
      <c r="D1021" s="22"/>
      <c r="E1021" s="22"/>
      <c r="F1021" s="22"/>
      <c r="G1021" s="22"/>
      <c r="H1021" s="22"/>
      <c r="I1021" s="22"/>
      <c r="J1021" s="22"/>
      <c r="K1021" s="22"/>
      <c r="L1021" s="22"/>
      <c r="M1021" s="22"/>
    </row>
    <row r="1022" spans="2:13" s="8" customFormat="1">
      <c r="B1022" s="22"/>
      <c r="C1022" s="22"/>
      <c r="D1022" s="22"/>
      <c r="E1022" s="22"/>
      <c r="F1022" s="22"/>
      <c r="G1022" s="22"/>
      <c r="H1022" s="22"/>
      <c r="I1022" s="22"/>
      <c r="J1022" s="22"/>
      <c r="K1022" s="22"/>
      <c r="L1022" s="22"/>
      <c r="M1022" s="22"/>
    </row>
    <row r="1023" spans="2:13" s="8" customFormat="1">
      <c r="B1023" s="22"/>
      <c r="C1023" s="22"/>
      <c r="D1023" s="22"/>
      <c r="E1023" s="22"/>
      <c r="F1023" s="22"/>
      <c r="G1023" s="22"/>
      <c r="H1023" s="22"/>
      <c r="I1023" s="22"/>
      <c r="J1023" s="22"/>
      <c r="K1023" s="22"/>
      <c r="L1023" s="22"/>
      <c r="M1023" s="22"/>
    </row>
    <row r="1024" spans="2:13" s="8" customFormat="1">
      <c r="B1024" s="22"/>
      <c r="C1024" s="22"/>
      <c r="D1024" s="22"/>
      <c r="E1024" s="22"/>
      <c r="F1024" s="22"/>
      <c r="G1024" s="22"/>
      <c r="H1024" s="22"/>
      <c r="I1024" s="22"/>
      <c r="J1024" s="22"/>
      <c r="K1024" s="22"/>
      <c r="L1024" s="22"/>
      <c r="M1024" s="22"/>
    </row>
    <row r="1025" spans="2:13" s="8" customFormat="1">
      <c r="B1025" s="22"/>
      <c r="C1025" s="22"/>
      <c r="D1025" s="22"/>
      <c r="E1025" s="22"/>
      <c r="F1025" s="22"/>
      <c r="G1025" s="22"/>
      <c r="H1025" s="22"/>
      <c r="I1025" s="22"/>
      <c r="J1025" s="22"/>
      <c r="K1025" s="22"/>
      <c r="L1025" s="22"/>
      <c r="M1025" s="22"/>
    </row>
    <row r="1026" spans="2:13" s="8" customFormat="1">
      <c r="B1026" s="22"/>
      <c r="C1026" s="22"/>
      <c r="D1026" s="22"/>
      <c r="E1026" s="22"/>
      <c r="F1026" s="22"/>
      <c r="G1026" s="22"/>
      <c r="H1026" s="22"/>
      <c r="I1026" s="22"/>
      <c r="J1026" s="22"/>
      <c r="K1026" s="22"/>
      <c r="L1026" s="22"/>
      <c r="M1026" s="22"/>
    </row>
    <row r="1027" spans="2:13" s="8" customFormat="1">
      <c r="B1027" s="22"/>
      <c r="C1027" s="22"/>
      <c r="D1027" s="22"/>
      <c r="E1027" s="22"/>
      <c r="F1027" s="22"/>
      <c r="G1027" s="22"/>
      <c r="H1027" s="22"/>
      <c r="I1027" s="22"/>
      <c r="J1027" s="22"/>
      <c r="K1027" s="22"/>
      <c r="L1027" s="22"/>
      <c r="M1027" s="22"/>
    </row>
    <row r="1028" spans="2:13" s="8" customFormat="1">
      <c r="B1028" s="22"/>
      <c r="C1028" s="22"/>
      <c r="D1028" s="22"/>
      <c r="E1028" s="22"/>
      <c r="F1028" s="22"/>
      <c r="G1028" s="22"/>
      <c r="H1028" s="22"/>
      <c r="I1028" s="22"/>
      <c r="J1028" s="22"/>
      <c r="K1028" s="22"/>
      <c r="L1028" s="22"/>
      <c r="M1028" s="22"/>
    </row>
    <row r="1029" spans="2:13" s="8" customFormat="1">
      <c r="B1029" s="22"/>
      <c r="C1029" s="22"/>
      <c r="D1029" s="22"/>
      <c r="E1029" s="22"/>
      <c r="F1029" s="22"/>
      <c r="G1029" s="22"/>
      <c r="H1029" s="22"/>
      <c r="I1029" s="22"/>
      <c r="J1029" s="22"/>
      <c r="K1029" s="22"/>
      <c r="L1029" s="22"/>
      <c r="M1029" s="22"/>
    </row>
    <row r="1030" spans="2:13" s="8" customFormat="1">
      <c r="B1030" s="22"/>
      <c r="C1030" s="22"/>
      <c r="D1030" s="22"/>
      <c r="E1030" s="22"/>
      <c r="F1030" s="22"/>
      <c r="G1030" s="22"/>
      <c r="H1030" s="22"/>
      <c r="I1030" s="22"/>
      <c r="J1030" s="22"/>
      <c r="K1030" s="22"/>
      <c r="L1030" s="22"/>
      <c r="M1030" s="22"/>
    </row>
    <row r="1031" spans="2:13" s="8" customFormat="1">
      <c r="B1031" s="22"/>
      <c r="C1031" s="22"/>
      <c r="D1031" s="22"/>
      <c r="E1031" s="22"/>
      <c r="F1031" s="22"/>
      <c r="G1031" s="22"/>
      <c r="H1031" s="22"/>
      <c r="I1031" s="22"/>
      <c r="J1031" s="22"/>
      <c r="K1031" s="22"/>
      <c r="L1031" s="22"/>
      <c r="M1031" s="22"/>
    </row>
    <row r="1032" spans="2:13" s="8" customFormat="1">
      <c r="B1032" s="22"/>
      <c r="C1032" s="22"/>
      <c r="D1032" s="22"/>
      <c r="E1032" s="22"/>
      <c r="F1032" s="22"/>
      <c r="G1032" s="22"/>
      <c r="H1032" s="22"/>
      <c r="I1032" s="22"/>
      <c r="J1032" s="22"/>
      <c r="K1032" s="22"/>
      <c r="L1032" s="22"/>
      <c r="M1032" s="22"/>
    </row>
    <row r="1033" spans="2:13" s="8" customFormat="1">
      <c r="B1033" s="22"/>
      <c r="C1033" s="22"/>
      <c r="D1033" s="22"/>
      <c r="E1033" s="22"/>
      <c r="F1033" s="22"/>
      <c r="G1033" s="22"/>
      <c r="H1033" s="22"/>
      <c r="I1033" s="22"/>
      <c r="J1033" s="22"/>
      <c r="K1033" s="22"/>
      <c r="L1033" s="22"/>
      <c r="M1033" s="22"/>
    </row>
    <row r="1034" spans="2:13" s="8" customFormat="1">
      <c r="B1034" s="22"/>
      <c r="C1034" s="22"/>
      <c r="D1034" s="22"/>
      <c r="E1034" s="22"/>
      <c r="F1034" s="22"/>
      <c r="G1034" s="22"/>
      <c r="H1034" s="22"/>
      <c r="I1034" s="22"/>
      <c r="J1034" s="22"/>
      <c r="K1034" s="22"/>
      <c r="L1034" s="22"/>
      <c r="M1034" s="22"/>
    </row>
    <row r="1035" spans="2:13" s="8" customFormat="1">
      <c r="B1035" s="22"/>
      <c r="C1035" s="22"/>
      <c r="D1035" s="22"/>
      <c r="E1035" s="22"/>
      <c r="F1035" s="22"/>
      <c r="G1035" s="22"/>
      <c r="H1035" s="22"/>
      <c r="I1035" s="22"/>
      <c r="J1035" s="22"/>
      <c r="K1035" s="22"/>
      <c r="L1035" s="22"/>
      <c r="M1035" s="22"/>
    </row>
    <row r="1036" spans="2:13" s="8" customFormat="1">
      <c r="B1036" s="22"/>
      <c r="C1036" s="22"/>
      <c r="D1036" s="22"/>
      <c r="E1036" s="22"/>
      <c r="F1036" s="22"/>
      <c r="G1036" s="22"/>
      <c r="H1036" s="22"/>
      <c r="I1036" s="22"/>
      <c r="J1036" s="22"/>
      <c r="K1036" s="22"/>
      <c r="L1036" s="22"/>
      <c r="M1036" s="22"/>
    </row>
    <row r="1037" spans="2:13" s="8" customFormat="1">
      <c r="B1037" s="22"/>
      <c r="C1037" s="22"/>
      <c r="D1037" s="22"/>
      <c r="E1037" s="22"/>
      <c r="F1037" s="22"/>
      <c r="G1037" s="22"/>
      <c r="H1037" s="22"/>
      <c r="I1037" s="22"/>
      <c r="J1037" s="22"/>
      <c r="K1037" s="22"/>
      <c r="L1037" s="22"/>
      <c r="M1037" s="22"/>
    </row>
    <row r="1038" spans="2:13" s="8" customFormat="1">
      <c r="B1038" s="22"/>
      <c r="C1038" s="22"/>
      <c r="D1038" s="22"/>
      <c r="E1038" s="22"/>
      <c r="F1038" s="22"/>
      <c r="G1038" s="22"/>
      <c r="H1038" s="22"/>
      <c r="I1038" s="22"/>
      <c r="J1038" s="22"/>
      <c r="K1038" s="22"/>
      <c r="L1038" s="22"/>
      <c r="M1038" s="22"/>
    </row>
    <row r="1039" spans="2:13" s="8" customFormat="1">
      <c r="B1039" s="22"/>
      <c r="C1039" s="22"/>
      <c r="D1039" s="22"/>
      <c r="E1039" s="22"/>
      <c r="F1039" s="22"/>
      <c r="G1039" s="22"/>
      <c r="H1039" s="22"/>
      <c r="I1039" s="22"/>
      <c r="J1039" s="22"/>
      <c r="K1039" s="22"/>
      <c r="L1039" s="22"/>
      <c r="M1039" s="22"/>
    </row>
    <row r="1040" spans="2:13" s="8" customFormat="1">
      <c r="B1040" s="22"/>
      <c r="C1040" s="22"/>
      <c r="D1040" s="22"/>
      <c r="E1040" s="22"/>
      <c r="F1040" s="22"/>
      <c r="G1040" s="22"/>
      <c r="H1040" s="22"/>
      <c r="I1040" s="22"/>
      <c r="J1040" s="22"/>
      <c r="K1040" s="22"/>
      <c r="L1040" s="22"/>
      <c r="M1040" s="22"/>
    </row>
    <row r="1041" spans="2:13" s="8" customFormat="1">
      <c r="B1041" s="22"/>
      <c r="C1041" s="22"/>
      <c r="D1041" s="22"/>
      <c r="E1041" s="22"/>
      <c r="F1041" s="22"/>
      <c r="G1041" s="22"/>
      <c r="H1041" s="22"/>
      <c r="I1041" s="22"/>
      <c r="J1041" s="22"/>
      <c r="K1041" s="22"/>
      <c r="L1041" s="22"/>
      <c r="M1041" s="22"/>
    </row>
    <row r="1042" spans="2:13" s="8" customFormat="1">
      <c r="B1042" s="22"/>
      <c r="C1042" s="22"/>
      <c r="D1042" s="22"/>
      <c r="E1042" s="22"/>
      <c r="F1042" s="22"/>
      <c r="G1042" s="22"/>
      <c r="H1042" s="22"/>
      <c r="I1042" s="22"/>
      <c r="J1042" s="22"/>
      <c r="K1042" s="22"/>
      <c r="L1042" s="22"/>
      <c r="M1042" s="22"/>
    </row>
    <row r="1043" spans="2:13" s="8" customFormat="1">
      <c r="B1043" s="22"/>
      <c r="C1043" s="22"/>
      <c r="D1043" s="22"/>
      <c r="E1043" s="22"/>
      <c r="F1043" s="22"/>
      <c r="G1043" s="22"/>
      <c r="H1043" s="22"/>
      <c r="I1043" s="22"/>
      <c r="J1043" s="22"/>
      <c r="K1043" s="22"/>
      <c r="L1043" s="22"/>
      <c r="M1043" s="22"/>
    </row>
    <row r="1044" spans="2:13" s="8" customFormat="1">
      <c r="B1044" s="22"/>
      <c r="C1044" s="22"/>
      <c r="D1044" s="22"/>
      <c r="E1044" s="22"/>
      <c r="F1044" s="22"/>
      <c r="G1044" s="22"/>
      <c r="H1044" s="22"/>
      <c r="I1044" s="22"/>
      <c r="J1044" s="22"/>
      <c r="K1044" s="22"/>
      <c r="L1044" s="22"/>
      <c r="M1044" s="22"/>
    </row>
    <row r="1045" spans="2:13" s="8" customFormat="1">
      <c r="B1045" s="22"/>
      <c r="C1045" s="22"/>
      <c r="D1045" s="22"/>
      <c r="E1045" s="22"/>
      <c r="F1045" s="22"/>
      <c r="G1045" s="22"/>
      <c r="H1045" s="22"/>
      <c r="I1045" s="22"/>
      <c r="J1045" s="22"/>
      <c r="K1045" s="22"/>
      <c r="L1045" s="22"/>
      <c r="M1045" s="22"/>
    </row>
    <row r="1046" spans="2:13" s="8" customFormat="1">
      <c r="B1046" s="22"/>
      <c r="C1046" s="22"/>
      <c r="D1046" s="22"/>
      <c r="E1046" s="22"/>
      <c r="F1046" s="22"/>
      <c r="G1046" s="22"/>
      <c r="H1046" s="22"/>
      <c r="I1046" s="22"/>
      <c r="J1046" s="22"/>
      <c r="K1046" s="22"/>
      <c r="L1046" s="22"/>
      <c r="M1046" s="22"/>
    </row>
    <row r="1047" spans="2:13" s="8" customFormat="1">
      <c r="B1047" s="22"/>
      <c r="C1047" s="22"/>
      <c r="D1047" s="22"/>
      <c r="E1047" s="22"/>
      <c r="F1047" s="22"/>
      <c r="G1047" s="22"/>
      <c r="H1047" s="22"/>
      <c r="I1047" s="22"/>
      <c r="J1047" s="22"/>
      <c r="K1047" s="22"/>
      <c r="L1047" s="22"/>
      <c r="M1047" s="22"/>
    </row>
    <row r="1048" spans="2:13" s="8" customFormat="1">
      <c r="B1048" s="22"/>
      <c r="C1048" s="22"/>
      <c r="D1048" s="22"/>
      <c r="E1048" s="22"/>
      <c r="F1048" s="22"/>
      <c r="G1048" s="22"/>
      <c r="H1048" s="22"/>
      <c r="I1048" s="22"/>
      <c r="J1048" s="22"/>
      <c r="K1048" s="22"/>
      <c r="L1048" s="22"/>
      <c r="M1048" s="22"/>
    </row>
    <row r="1049" spans="2:13" s="8" customFormat="1">
      <c r="B1049" s="22"/>
      <c r="C1049" s="22"/>
      <c r="D1049" s="22"/>
      <c r="E1049" s="22"/>
      <c r="F1049" s="22"/>
      <c r="G1049" s="22"/>
      <c r="H1049" s="22"/>
      <c r="I1049" s="22"/>
      <c r="J1049" s="22"/>
      <c r="K1049" s="22"/>
      <c r="L1049" s="22"/>
      <c r="M1049" s="22"/>
    </row>
    <row r="1050" spans="2:13" s="8" customFormat="1">
      <c r="B1050" s="22"/>
      <c r="C1050" s="22"/>
      <c r="D1050" s="22"/>
      <c r="E1050" s="22"/>
      <c r="F1050" s="22"/>
      <c r="G1050" s="22"/>
      <c r="H1050" s="22"/>
      <c r="I1050" s="22"/>
      <c r="J1050" s="22"/>
      <c r="K1050" s="22"/>
      <c r="L1050" s="22"/>
      <c r="M1050" s="22"/>
    </row>
    <row r="1051" spans="2:13" s="8" customFormat="1">
      <c r="B1051" s="22"/>
      <c r="C1051" s="22"/>
      <c r="D1051" s="22"/>
      <c r="E1051" s="22"/>
      <c r="F1051" s="22"/>
      <c r="G1051" s="22"/>
      <c r="H1051" s="22"/>
      <c r="I1051" s="22"/>
      <c r="J1051" s="22"/>
      <c r="K1051" s="22"/>
      <c r="L1051" s="22"/>
      <c r="M1051" s="22"/>
    </row>
    <row r="1052" spans="2:13" s="8" customFormat="1">
      <c r="B1052" s="22"/>
      <c r="C1052" s="22"/>
      <c r="D1052" s="22"/>
      <c r="E1052" s="22"/>
      <c r="F1052" s="22"/>
      <c r="G1052" s="22"/>
      <c r="H1052" s="22"/>
      <c r="I1052" s="22"/>
      <c r="J1052" s="22"/>
      <c r="K1052" s="22"/>
      <c r="L1052" s="22"/>
      <c r="M1052" s="22"/>
    </row>
    <row r="1053" spans="2:13" s="8" customFormat="1">
      <c r="B1053" s="22"/>
      <c r="C1053" s="22"/>
      <c r="D1053" s="22"/>
      <c r="E1053" s="22"/>
      <c r="F1053" s="22"/>
      <c r="G1053" s="22"/>
      <c r="H1053" s="22"/>
      <c r="I1053" s="22"/>
      <c r="J1053" s="22"/>
      <c r="K1053" s="22"/>
      <c r="L1053" s="22"/>
      <c r="M1053" s="22"/>
    </row>
    <row r="1054" spans="2:13" s="8" customFormat="1">
      <c r="B1054" s="22"/>
      <c r="C1054" s="22"/>
      <c r="D1054" s="22"/>
      <c r="E1054" s="22"/>
      <c r="F1054" s="22"/>
      <c r="G1054" s="22"/>
      <c r="H1054" s="22"/>
      <c r="I1054" s="22"/>
      <c r="J1054" s="22"/>
      <c r="K1054" s="22"/>
      <c r="L1054" s="22"/>
      <c r="M1054" s="22"/>
    </row>
    <row r="1055" spans="2:13" s="8" customFormat="1">
      <c r="B1055" s="22"/>
      <c r="C1055" s="22"/>
      <c r="D1055" s="22"/>
      <c r="E1055" s="22"/>
      <c r="F1055" s="22"/>
      <c r="G1055" s="22"/>
      <c r="H1055" s="22"/>
      <c r="I1055" s="22"/>
      <c r="J1055" s="22"/>
      <c r="K1055" s="22"/>
      <c r="L1055" s="22"/>
      <c r="M1055" s="22"/>
    </row>
    <row r="1056" spans="2:13" s="8" customFormat="1">
      <c r="B1056" s="22"/>
      <c r="C1056" s="22"/>
      <c r="D1056" s="22"/>
      <c r="E1056" s="22"/>
      <c r="F1056" s="22"/>
      <c r="G1056" s="22"/>
      <c r="H1056" s="22"/>
      <c r="I1056" s="22"/>
      <c r="J1056" s="22"/>
      <c r="K1056" s="22"/>
      <c r="L1056" s="22"/>
      <c r="M1056" s="22"/>
    </row>
    <row r="1057" spans="2:13" s="8" customFormat="1">
      <c r="B1057" s="22"/>
      <c r="C1057" s="22"/>
      <c r="D1057" s="22"/>
      <c r="E1057" s="22"/>
      <c r="F1057" s="22"/>
      <c r="G1057" s="22"/>
      <c r="H1057" s="22"/>
      <c r="I1057" s="22"/>
      <c r="J1057" s="22"/>
      <c r="K1057" s="22"/>
      <c r="L1057" s="22"/>
      <c r="M1057" s="22"/>
    </row>
    <row r="1058" spans="2:13" s="8" customFormat="1">
      <c r="B1058" s="22"/>
      <c r="C1058" s="22"/>
      <c r="D1058" s="22"/>
      <c r="E1058" s="22"/>
      <c r="F1058" s="22"/>
      <c r="G1058" s="22"/>
      <c r="H1058" s="22"/>
      <c r="I1058" s="22"/>
      <c r="J1058" s="22"/>
      <c r="K1058" s="22"/>
      <c r="L1058" s="22"/>
      <c r="M1058" s="22"/>
    </row>
    <row r="1059" spans="2:13" s="8" customFormat="1">
      <c r="B1059" s="22"/>
      <c r="C1059" s="22"/>
      <c r="D1059" s="22"/>
      <c r="E1059" s="22"/>
      <c r="F1059" s="22"/>
      <c r="G1059" s="22"/>
      <c r="H1059" s="22"/>
      <c r="I1059" s="22"/>
      <c r="J1059" s="22"/>
      <c r="K1059" s="22"/>
      <c r="L1059" s="22"/>
      <c r="M1059" s="22"/>
    </row>
    <row r="1060" spans="2:13" s="8" customFormat="1">
      <c r="B1060" s="22"/>
      <c r="C1060" s="22"/>
      <c r="D1060" s="22"/>
      <c r="E1060" s="22"/>
      <c r="F1060" s="22"/>
      <c r="G1060" s="22"/>
      <c r="H1060" s="22"/>
      <c r="I1060" s="22"/>
      <c r="J1060" s="22"/>
      <c r="K1060" s="22"/>
      <c r="L1060" s="22"/>
      <c r="M1060" s="22"/>
    </row>
    <row r="1061" spans="2:13" s="8" customFormat="1">
      <c r="B1061" s="22"/>
      <c r="C1061" s="22"/>
      <c r="D1061" s="22"/>
      <c r="E1061" s="22"/>
      <c r="F1061" s="22"/>
      <c r="G1061" s="22"/>
      <c r="H1061" s="22"/>
      <c r="I1061" s="22"/>
      <c r="J1061" s="22"/>
      <c r="K1061" s="22"/>
      <c r="L1061" s="22"/>
      <c r="M1061" s="22"/>
    </row>
    <row r="1062" spans="2:13" s="8" customFormat="1">
      <c r="B1062" s="22"/>
      <c r="C1062" s="22"/>
      <c r="D1062" s="22"/>
      <c r="E1062" s="22"/>
      <c r="F1062" s="22"/>
      <c r="G1062" s="22"/>
      <c r="H1062" s="22"/>
      <c r="I1062" s="22"/>
      <c r="J1062" s="22"/>
      <c r="K1062" s="22"/>
      <c r="L1062" s="22"/>
      <c r="M1062" s="22"/>
    </row>
    <row r="1063" spans="2:13" s="8" customFormat="1">
      <c r="B1063" s="22"/>
      <c r="C1063" s="22"/>
      <c r="D1063" s="22"/>
      <c r="E1063" s="22"/>
      <c r="F1063" s="22"/>
      <c r="G1063" s="22"/>
      <c r="H1063" s="22"/>
      <c r="I1063" s="22"/>
      <c r="J1063" s="22"/>
      <c r="K1063" s="22"/>
      <c r="L1063" s="22"/>
      <c r="M1063" s="22"/>
    </row>
    <row r="1064" spans="2:13" s="8" customFormat="1">
      <c r="B1064" s="22"/>
      <c r="C1064" s="22"/>
      <c r="D1064" s="22"/>
      <c r="E1064" s="22"/>
      <c r="F1064" s="22"/>
      <c r="G1064" s="22"/>
      <c r="H1064" s="22"/>
      <c r="I1064" s="22"/>
      <c r="J1064" s="22"/>
      <c r="K1064" s="22"/>
      <c r="L1064" s="22"/>
      <c r="M1064" s="22"/>
    </row>
    <row r="1065" spans="2:13" s="8" customFormat="1">
      <c r="B1065" s="22"/>
      <c r="C1065" s="22"/>
      <c r="D1065" s="22"/>
      <c r="E1065" s="22"/>
      <c r="F1065" s="22"/>
      <c r="G1065" s="22"/>
      <c r="H1065" s="22"/>
      <c r="I1065" s="22"/>
      <c r="J1065" s="22"/>
      <c r="K1065" s="22"/>
      <c r="L1065" s="22"/>
      <c r="M1065" s="22"/>
    </row>
    <row r="1066" spans="2:13" s="8" customFormat="1">
      <c r="B1066" s="22"/>
      <c r="C1066" s="22"/>
      <c r="D1066" s="22"/>
      <c r="E1066" s="22"/>
      <c r="F1066" s="22"/>
      <c r="G1066" s="22"/>
      <c r="H1066" s="22"/>
      <c r="I1066" s="22"/>
      <c r="J1066" s="22"/>
      <c r="K1066" s="22"/>
      <c r="L1066" s="22"/>
      <c r="M1066" s="22"/>
    </row>
    <row r="1067" spans="2:13" s="8" customFormat="1">
      <c r="B1067" s="22"/>
      <c r="C1067" s="22"/>
      <c r="D1067" s="22"/>
      <c r="E1067" s="22"/>
      <c r="F1067" s="22"/>
      <c r="G1067" s="22"/>
      <c r="H1067" s="22"/>
      <c r="I1067" s="22"/>
      <c r="J1067" s="22"/>
      <c r="K1067" s="22"/>
      <c r="L1067" s="22"/>
      <c r="M1067" s="22"/>
    </row>
    <row r="1068" spans="2:13" s="8" customFormat="1">
      <c r="B1068" s="22"/>
      <c r="C1068" s="22"/>
      <c r="D1068" s="22"/>
      <c r="E1068" s="22"/>
      <c r="F1068" s="22"/>
      <c r="G1068" s="22"/>
      <c r="H1068" s="22"/>
      <c r="I1068" s="22"/>
      <c r="J1068" s="22"/>
      <c r="K1068" s="22"/>
      <c r="L1068" s="22"/>
      <c r="M1068" s="22"/>
    </row>
    <row r="1069" spans="2:13" s="8" customFormat="1">
      <c r="B1069" s="22"/>
      <c r="C1069" s="22"/>
      <c r="D1069" s="22"/>
      <c r="E1069" s="22"/>
      <c r="F1069" s="22"/>
      <c r="G1069" s="22"/>
      <c r="H1069" s="22"/>
      <c r="I1069" s="22"/>
      <c r="J1069" s="22"/>
      <c r="K1069" s="22"/>
      <c r="L1069" s="22"/>
      <c r="M1069" s="22"/>
    </row>
    <row r="1070" spans="2:13" s="8" customFormat="1">
      <c r="B1070" s="22"/>
      <c r="C1070" s="22"/>
      <c r="D1070" s="22"/>
      <c r="E1070" s="22"/>
      <c r="F1070" s="22"/>
      <c r="G1070" s="22"/>
      <c r="H1070" s="22"/>
      <c r="I1070" s="22"/>
      <c r="J1070" s="22"/>
      <c r="K1070" s="22"/>
      <c r="L1070" s="22"/>
      <c r="M1070" s="22"/>
    </row>
    <row r="1071" spans="2:13" s="8" customFormat="1">
      <c r="B1071" s="22"/>
      <c r="C1071" s="22"/>
      <c r="D1071" s="22"/>
      <c r="E1071" s="22"/>
      <c r="F1071" s="22"/>
      <c r="G1071" s="22"/>
      <c r="H1071" s="22"/>
      <c r="I1071" s="22"/>
      <c r="J1071" s="22"/>
      <c r="K1071" s="22"/>
      <c r="L1071" s="22"/>
      <c r="M1071" s="22"/>
    </row>
    <row r="1072" spans="2:13" s="8" customFormat="1">
      <c r="B1072" s="22"/>
      <c r="C1072" s="22"/>
      <c r="D1072" s="22"/>
      <c r="E1072" s="22"/>
      <c r="F1072" s="22"/>
      <c r="G1072" s="22"/>
      <c r="H1072" s="22"/>
      <c r="I1072" s="22"/>
      <c r="J1072" s="22"/>
      <c r="K1072" s="22"/>
      <c r="L1072" s="22"/>
      <c r="M1072" s="22"/>
    </row>
    <row r="1073" spans="2:13" s="8" customFormat="1">
      <c r="B1073" s="22"/>
      <c r="C1073" s="22"/>
      <c r="D1073" s="22"/>
      <c r="E1073" s="22"/>
      <c r="F1073" s="22"/>
      <c r="G1073" s="22"/>
      <c r="H1073" s="22"/>
      <c r="I1073" s="22"/>
      <c r="J1073" s="22"/>
      <c r="K1073" s="22"/>
      <c r="L1073" s="22"/>
      <c r="M1073" s="22"/>
    </row>
    <row r="1074" spans="2:13" s="8" customFormat="1">
      <c r="B1074" s="22"/>
      <c r="C1074" s="22"/>
      <c r="D1074" s="22"/>
      <c r="E1074" s="22"/>
      <c r="F1074" s="22"/>
      <c r="G1074" s="22"/>
      <c r="H1074" s="22"/>
      <c r="I1074" s="22"/>
      <c r="J1074" s="22"/>
      <c r="K1074" s="22"/>
      <c r="L1074" s="22"/>
      <c r="M1074" s="22"/>
    </row>
    <row r="1075" spans="2:13" s="8" customFormat="1">
      <c r="B1075" s="22"/>
      <c r="C1075" s="22"/>
      <c r="D1075" s="22"/>
      <c r="E1075" s="22"/>
      <c r="F1075" s="22"/>
      <c r="G1075" s="22"/>
      <c r="H1075" s="22"/>
      <c r="I1075" s="22"/>
      <c r="J1075" s="22"/>
      <c r="K1075" s="22"/>
      <c r="L1075" s="22"/>
      <c r="M1075" s="22"/>
    </row>
    <row r="1076" spans="2:13" s="8" customFormat="1">
      <c r="B1076" s="22"/>
      <c r="C1076" s="22"/>
      <c r="D1076" s="22"/>
      <c r="E1076" s="22"/>
      <c r="F1076" s="22"/>
      <c r="G1076" s="22"/>
      <c r="H1076" s="22"/>
      <c r="I1076" s="22"/>
      <c r="J1076" s="22"/>
      <c r="K1076" s="22"/>
      <c r="L1076" s="22"/>
      <c r="M1076" s="22"/>
    </row>
    <row r="1077" spans="2:13" s="8" customFormat="1">
      <c r="B1077" s="22"/>
      <c r="C1077" s="22"/>
      <c r="D1077" s="22"/>
      <c r="E1077" s="22"/>
      <c r="F1077" s="22"/>
      <c r="G1077" s="22"/>
      <c r="H1077" s="22"/>
      <c r="I1077" s="22"/>
      <c r="J1077" s="22"/>
      <c r="K1077" s="22"/>
      <c r="L1077" s="22"/>
      <c r="M1077" s="22"/>
    </row>
    <row r="1078" spans="2:13" s="8" customFormat="1">
      <c r="B1078" s="22"/>
      <c r="C1078" s="22"/>
      <c r="D1078" s="22"/>
      <c r="E1078" s="22"/>
      <c r="F1078" s="22"/>
      <c r="G1078" s="22"/>
      <c r="H1078" s="22"/>
      <c r="I1078" s="22"/>
      <c r="J1078" s="22"/>
      <c r="K1078" s="22"/>
      <c r="L1078" s="22"/>
      <c r="M1078" s="22"/>
    </row>
    <row r="1079" spans="2:13" s="8" customFormat="1">
      <c r="B1079" s="22"/>
      <c r="C1079" s="22"/>
      <c r="D1079" s="22"/>
      <c r="E1079" s="22"/>
      <c r="F1079" s="22"/>
      <c r="G1079" s="22"/>
      <c r="H1079" s="22"/>
      <c r="I1079" s="22"/>
      <c r="J1079" s="22"/>
      <c r="K1079" s="22"/>
      <c r="L1079" s="22"/>
      <c r="M1079" s="22"/>
    </row>
    <row r="1080" spans="2:13" s="8" customFormat="1">
      <c r="B1080" s="22"/>
      <c r="C1080" s="22"/>
      <c r="D1080" s="22"/>
      <c r="E1080" s="22"/>
      <c r="F1080" s="22"/>
      <c r="G1080" s="22"/>
      <c r="H1080" s="22"/>
      <c r="I1080" s="22"/>
      <c r="J1080" s="22"/>
      <c r="K1080" s="22"/>
      <c r="L1080" s="22"/>
      <c r="M1080" s="22"/>
    </row>
    <row r="1081" spans="2:13" s="8" customFormat="1">
      <c r="B1081" s="22"/>
      <c r="C1081" s="22"/>
      <c r="D1081" s="22"/>
      <c r="E1081" s="22"/>
      <c r="F1081" s="22"/>
      <c r="G1081" s="22"/>
      <c r="H1081" s="22"/>
      <c r="I1081" s="22"/>
      <c r="J1081" s="22"/>
      <c r="K1081" s="22"/>
      <c r="L1081" s="22"/>
      <c r="M1081" s="22"/>
    </row>
    <row r="1082" spans="2:13" s="8" customFormat="1">
      <c r="B1082" s="22"/>
      <c r="C1082" s="22"/>
      <c r="D1082" s="22"/>
      <c r="E1082" s="22"/>
      <c r="F1082" s="22"/>
      <c r="G1082" s="22"/>
      <c r="H1082" s="22"/>
      <c r="I1082" s="22"/>
      <c r="J1082" s="22"/>
      <c r="K1082" s="22"/>
      <c r="L1082" s="22"/>
      <c r="M1082" s="22"/>
    </row>
    <row r="1083" spans="2:13" s="8" customFormat="1">
      <c r="B1083" s="22"/>
      <c r="C1083" s="22"/>
      <c r="D1083" s="22"/>
      <c r="E1083" s="22"/>
      <c r="F1083" s="22"/>
      <c r="G1083" s="22"/>
      <c r="H1083" s="22"/>
      <c r="I1083" s="22"/>
      <c r="J1083" s="22"/>
      <c r="K1083" s="22"/>
      <c r="L1083" s="22"/>
      <c r="M1083" s="22"/>
    </row>
    <row r="1084" spans="2:13" s="8" customFormat="1">
      <c r="B1084" s="22"/>
      <c r="C1084" s="22"/>
      <c r="D1084" s="22"/>
      <c r="E1084" s="22"/>
      <c r="F1084" s="22"/>
      <c r="G1084" s="22"/>
      <c r="H1084" s="22"/>
      <c r="I1084" s="22"/>
      <c r="J1084" s="22"/>
      <c r="K1084" s="22"/>
      <c r="L1084" s="22"/>
      <c r="M1084" s="22"/>
    </row>
    <row r="1085" spans="2:13" s="8" customFormat="1">
      <c r="B1085" s="22"/>
      <c r="C1085" s="22"/>
      <c r="D1085" s="22"/>
      <c r="E1085" s="22"/>
      <c r="F1085" s="22"/>
      <c r="G1085" s="22"/>
      <c r="H1085" s="22"/>
      <c r="I1085" s="22"/>
      <c r="J1085" s="22"/>
      <c r="K1085" s="22"/>
      <c r="L1085" s="22"/>
      <c r="M1085" s="22"/>
    </row>
    <row r="1086" spans="2:13" s="8" customFormat="1">
      <c r="B1086" s="22"/>
      <c r="C1086" s="22"/>
      <c r="D1086" s="22"/>
      <c r="E1086" s="22"/>
      <c r="F1086" s="22"/>
      <c r="G1086" s="22"/>
      <c r="H1086" s="22"/>
      <c r="I1086" s="22"/>
      <c r="J1086" s="22"/>
      <c r="K1086" s="22"/>
      <c r="L1086" s="22"/>
      <c r="M1086" s="22"/>
    </row>
    <row r="1087" spans="2:13" s="8" customFormat="1">
      <c r="B1087" s="22"/>
      <c r="C1087" s="22"/>
      <c r="D1087" s="22"/>
      <c r="E1087" s="22"/>
      <c r="F1087" s="22"/>
      <c r="G1087" s="22"/>
      <c r="H1087" s="22"/>
      <c r="I1087" s="22"/>
      <c r="J1087" s="22"/>
      <c r="K1087" s="22"/>
      <c r="L1087" s="22"/>
      <c r="M1087" s="22"/>
    </row>
    <row r="1088" spans="2:13" s="8" customFormat="1">
      <c r="B1088" s="22"/>
      <c r="C1088" s="22"/>
      <c r="D1088" s="22"/>
      <c r="E1088" s="22"/>
      <c r="F1088" s="22"/>
      <c r="G1088" s="22"/>
      <c r="H1088" s="22"/>
      <c r="I1088" s="22"/>
      <c r="J1088" s="22"/>
      <c r="K1088" s="22"/>
      <c r="L1088" s="22"/>
      <c r="M1088" s="22"/>
    </row>
    <row r="1089" spans="2:13" s="8" customFormat="1">
      <c r="B1089" s="22"/>
      <c r="C1089" s="22"/>
      <c r="D1089" s="22"/>
      <c r="E1089" s="22"/>
      <c r="F1089" s="22"/>
      <c r="G1089" s="22"/>
      <c r="H1089" s="22"/>
      <c r="I1089" s="22"/>
      <c r="J1089" s="22"/>
      <c r="K1089" s="22"/>
      <c r="L1089" s="22"/>
      <c r="M1089" s="22"/>
    </row>
    <row r="1090" spans="2:13" s="8" customFormat="1">
      <c r="B1090" s="22"/>
      <c r="C1090" s="22"/>
      <c r="D1090" s="22"/>
      <c r="E1090" s="22"/>
      <c r="F1090" s="22"/>
      <c r="G1090" s="22"/>
      <c r="H1090" s="22"/>
      <c r="I1090" s="22"/>
      <c r="J1090" s="22"/>
      <c r="K1090" s="22"/>
      <c r="L1090" s="22"/>
      <c r="M1090" s="22"/>
    </row>
    <row r="1091" spans="2:13" s="8" customFormat="1">
      <c r="B1091" s="22"/>
      <c r="C1091" s="22"/>
      <c r="D1091" s="22"/>
      <c r="E1091" s="22"/>
      <c r="F1091" s="22"/>
      <c r="G1091" s="22"/>
      <c r="H1091" s="22"/>
      <c r="I1091" s="22"/>
      <c r="J1091" s="22"/>
      <c r="K1091" s="22"/>
      <c r="L1091" s="22"/>
      <c r="M1091" s="22"/>
    </row>
    <row r="1092" spans="2:13" s="8" customFormat="1">
      <c r="B1092" s="22"/>
      <c r="C1092" s="22"/>
      <c r="D1092" s="22"/>
      <c r="E1092" s="22"/>
      <c r="F1092" s="22"/>
      <c r="G1092" s="22"/>
      <c r="H1092" s="22"/>
      <c r="I1092" s="22"/>
      <c r="J1092" s="22"/>
      <c r="K1092" s="22"/>
      <c r="L1092" s="22"/>
      <c r="M1092" s="22"/>
    </row>
    <row r="1093" spans="2:13" s="8" customFormat="1">
      <c r="B1093" s="22"/>
      <c r="C1093" s="22"/>
      <c r="D1093" s="22"/>
      <c r="E1093" s="22"/>
      <c r="F1093" s="22"/>
      <c r="G1093" s="22"/>
      <c r="H1093" s="22"/>
      <c r="I1093" s="22"/>
      <c r="J1093" s="22"/>
      <c r="K1093" s="22"/>
      <c r="L1093" s="22"/>
      <c r="M1093" s="22"/>
    </row>
    <row r="1094" spans="2:13" s="8" customFormat="1">
      <c r="B1094" s="22"/>
      <c r="C1094" s="22"/>
      <c r="D1094" s="22"/>
      <c r="E1094" s="22"/>
      <c r="F1094" s="22"/>
      <c r="G1094" s="22"/>
      <c r="H1094" s="22"/>
      <c r="I1094" s="22"/>
      <c r="J1094" s="22"/>
      <c r="K1094" s="22"/>
      <c r="L1094" s="22"/>
      <c r="M1094" s="22"/>
    </row>
    <row r="1095" spans="2:13" s="8" customFormat="1">
      <c r="B1095" s="22"/>
      <c r="C1095" s="22"/>
      <c r="D1095" s="22"/>
      <c r="E1095" s="22"/>
      <c r="F1095" s="22"/>
      <c r="G1095" s="22"/>
      <c r="H1095" s="22"/>
      <c r="I1095" s="22"/>
      <c r="J1095" s="22"/>
      <c r="K1095" s="22"/>
      <c r="L1095" s="22"/>
      <c r="M1095" s="22"/>
    </row>
    <row r="1096" spans="2:13" s="8" customFormat="1">
      <c r="B1096" s="22"/>
      <c r="C1096" s="22"/>
      <c r="D1096" s="22"/>
      <c r="E1096" s="22"/>
      <c r="F1096" s="22"/>
      <c r="G1096" s="22"/>
      <c r="H1096" s="22"/>
      <c r="I1096" s="22"/>
      <c r="J1096" s="22"/>
      <c r="K1096" s="22"/>
      <c r="L1096" s="22"/>
      <c r="M1096" s="22"/>
    </row>
    <row r="1097" spans="2:13" s="8" customFormat="1">
      <c r="B1097" s="22"/>
      <c r="C1097" s="22"/>
      <c r="D1097" s="22"/>
      <c r="E1097" s="22"/>
      <c r="F1097" s="22"/>
      <c r="G1097" s="22"/>
      <c r="H1097" s="22"/>
      <c r="I1097" s="22"/>
      <c r="J1097" s="22"/>
      <c r="K1097" s="22"/>
      <c r="L1097" s="22"/>
      <c r="M1097" s="22"/>
    </row>
    <row r="1098" spans="2:13" s="8" customFormat="1">
      <c r="B1098" s="22"/>
      <c r="C1098" s="22"/>
      <c r="D1098" s="22"/>
      <c r="E1098" s="22"/>
      <c r="F1098" s="22"/>
      <c r="G1098" s="22"/>
      <c r="H1098" s="22"/>
      <c r="I1098" s="22"/>
      <c r="J1098" s="22"/>
      <c r="K1098" s="22"/>
      <c r="L1098" s="22"/>
      <c r="M1098" s="22"/>
    </row>
    <row r="1099" spans="2:13" s="8" customFormat="1">
      <c r="B1099" s="22"/>
      <c r="C1099" s="22"/>
      <c r="D1099" s="22"/>
      <c r="E1099" s="22"/>
      <c r="F1099" s="22"/>
      <c r="G1099" s="22"/>
      <c r="H1099" s="22"/>
      <c r="I1099" s="22"/>
      <c r="J1099" s="22"/>
      <c r="K1099" s="22"/>
      <c r="L1099" s="22"/>
      <c r="M1099" s="22"/>
    </row>
    <row r="1100" spans="2:13" s="8" customFormat="1">
      <c r="B1100" s="22"/>
      <c r="C1100" s="22"/>
      <c r="D1100" s="22"/>
      <c r="E1100" s="22"/>
      <c r="F1100" s="22"/>
      <c r="G1100" s="22"/>
      <c r="H1100" s="22"/>
      <c r="I1100" s="22"/>
      <c r="J1100" s="22"/>
      <c r="K1100" s="22"/>
      <c r="L1100" s="22"/>
      <c r="M1100" s="22"/>
    </row>
    <row r="1101" spans="2:13" s="8" customFormat="1">
      <c r="B1101" s="22"/>
      <c r="C1101" s="22"/>
      <c r="D1101" s="22"/>
      <c r="E1101" s="22"/>
      <c r="F1101" s="22"/>
      <c r="G1101" s="22"/>
      <c r="H1101" s="22"/>
      <c r="I1101" s="22"/>
      <c r="J1101" s="22"/>
      <c r="K1101" s="22"/>
      <c r="L1101" s="22"/>
      <c r="M1101" s="22"/>
    </row>
    <row r="1102" spans="2:13" s="8" customFormat="1">
      <c r="B1102" s="22"/>
      <c r="C1102" s="22"/>
      <c r="D1102" s="22"/>
      <c r="E1102" s="22"/>
      <c r="F1102" s="22"/>
      <c r="G1102" s="22"/>
      <c r="H1102" s="22"/>
      <c r="I1102" s="22"/>
      <c r="J1102" s="22"/>
      <c r="K1102" s="22"/>
      <c r="L1102" s="22"/>
      <c r="M1102" s="22"/>
    </row>
    <row r="1103" spans="2:13" s="8" customFormat="1">
      <c r="B1103" s="22"/>
      <c r="C1103" s="22"/>
      <c r="D1103" s="22"/>
      <c r="E1103" s="22"/>
      <c r="F1103" s="22"/>
      <c r="G1103" s="22"/>
      <c r="H1103" s="22"/>
      <c r="I1103" s="22"/>
      <c r="J1103" s="22"/>
      <c r="K1103" s="22"/>
      <c r="L1103" s="22"/>
      <c r="M1103" s="22"/>
    </row>
    <row r="1104" spans="2:13" s="8" customFormat="1">
      <c r="B1104" s="22"/>
      <c r="C1104" s="22"/>
      <c r="D1104" s="22"/>
      <c r="E1104" s="22"/>
      <c r="F1104" s="22"/>
      <c r="G1104" s="22"/>
      <c r="H1104" s="22"/>
      <c r="I1104" s="22"/>
      <c r="J1104" s="22"/>
      <c r="K1104" s="22"/>
      <c r="L1104" s="22"/>
      <c r="M1104" s="22"/>
    </row>
    <row r="1105" spans="2:13" s="8" customFormat="1">
      <c r="B1105" s="22"/>
      <c r="C1105" s="22"/>
      <c r="D1105" s="22"/>
      <c r="E1105" s="22"/>
      <c r="F1105" s="22"/>
      <c r="G1105" s="22"/>
      <c r="H1105" s="22"/>
      <c r="I1105" s="22"/>
      <c r="J1105" s="22"/>
      <c r="K1105" s="22"/>
      <c r="L1105" s="22"/>
      <c r="M1105" s="22"/>
    </row>
    <row r="1106" spans="2:13" s="8" customFormat="1">
      <c r="B1106" s="22"/>
      <c r="C1106" s="22"/>
      <c r="D1106" s="22"/>
      <c r="E1106" s="22"/>
      <c r="F1106" s="22"/>
      <c r="G1106" s="22"/>
      <c r="H1106" s="22"/>
      <c r="I1106" s="22"/>
      <c r="J1106" s="22"/>
      <c r="K1106" s="22"/>
      <c r="L1106" s="22"/>
      <c r="M1106" s="22"/>
    </row>
    <row r="1107" spans="2:13" s="8" customFormat="1">
      <c r="B1107" s="22"/>
      <c r="C1107" s="22"/>
      <c r="D1107" s="22"/>
      <c r="E1107" s="22"/>
      <c r="F1107" s="22"/>
      <c r="G1107" s="22"/>
      <c r="H1107" s="22"/>
      <c r="I1107" s="22"/>
      <c r="J1107" s="22"/>
      <c r="K1107" s="22"/>
      <c r="L1107" s="22"/>
      <c r="M1107" s="22"/>
    </row>
    <row r="1108" spans="2:13" s="8" customFormat="1">
      <c r="B1108" s="22"/>
      <c r="C1108" s="22"/>
      <c r="D1108" s="22"/>
      <c r="E1108" s="22"/>
      <c r="F1108" s="22"/>
      <c r="G1108" s="22"/>
      <c r="H1108" s="22"/>
      <c r="I1108" s="22"/>
      <c r="J1108" s="22"/>
      <c r="K1108" s="22"/>
      <c r="L1108" s="22"/>
      <c r="M1108" s="22"/>
    </row>
    <row r="1109" spans="2:13" s="8" customFormat="1">
      <c r="B1109" s="22"/>
      <c r="C1109" s="22"/>
      <c r="D1109" s="22"/>
      <c r="E1109" s="22"/>
      <c r="F1109" s="22"/>
      <c r="G1109" s="22"/>
      <c r="H1109" s="22"/>
      <c r="I1109" s="22"/>
      <c r="J1109" s="22"/>
      <c r="K1109" s="22"/>
      <c r="L1109" s="22"/>
      <c r="M1109" s="22"/>
    </row>
    <row r="1110" spans="2:13" s="8" customFormat="1">
      <c r="B1110" s="22"/>
      <c r="C1110" s="22"/>
      <c r="D1110" s="22"/>
      <c r="E1110" s="22"/>
      <c r="F1110" s="22"/>
      <c r="G1110" s="22"/>
      <c r="H1110" s="22"/>
      <c r="I1110" s="22"/>
      <c r="J1110" s="22"/>
      <c r="K1110" s="22"/>
      <c r="L1110" s="22"/>
      <c r="M1110" s="22"/>
    </row>
    <row r="1111" spans="2:13" s="8" customFormat="1">
      <c r="B1111" s="22"/>
      <c r="C1111" s="22"/>
      <c r="D1111" s="22"/>
      <c r="E1111" s="22"/>
      <c r="F1111" s="22"/>
      <c r="G1111" s="22"/>
      <c r="H1111" s="22"/>
      <c r="I1111" s="22"/>
      <c r="J1111" s="22"/>
      <c r="K1111" s="22"/>
      <c r="L1111" s="22"/>
      <c r="M1111" s="22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86" orientation="landscape" r:id="rId1"/>
  <headerFooter alignWithMargins="0">
    <oddHeader xml:space="preserve">&amp;CSTRABAG Group&amp;"Arial,Fett"
</oddHeader>
  </headerFooter>
  <rowBreaks count="6" manualBreakCount="6">
    <brk id="36" max="13" man="1"/>
    <brk id="80" max="13" man="1"/>
    <brk id="105" max="13" man="1"/>
    <brk id="126" max="13" man="1"/>
    <brk id="159" max="13" man="1"/>
    <brk id="18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1"/>
  <sheetViews>
    <sheetView view="pageBreakPreview" zoomScale="110" zoomScaleNormal="100" zoomScaleSheetLayoutView="11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baseColWidth="10" defaultColWidth="20.5703125" defaultRowHeight="12" customHeight="1" outlineLevelRow="1"/>
  <cols>
    <col min="1" max="1" width="20.5703125" style="25" customWidth="1"/>
    <col min="2" max="13" width="10.85546875" style="26" customWidth="1"/>
    <col min="14" max="16384" width="20.5703125" style="25"/>
  </cols>
  <sheetData>
    <row r="1" spans="1:15" s="24" customFormat="1" ht="24.75" customHeight="1">
      <c r="A1" s="23" t="s">
        <v>115</v>
      </c>
      <c r="B1" s="151" t="s">
        <v>159</v>
      </c>
      <c r="C1" s="151" t="s">
        <v>161</v>
      </c>
      <c r="D1" s="151" t="s">
        <v>158</v>
      </c>
      <c r="E1" s="151">
        <v>2019</v>
      </c>
      <c r="F1" s="151" t="s">
        <v>156</v>
      </c>
      <c r="G1" s="151">
        <v>2018</v>
      </c>
      <c r="H1" s="151" t="s">
        <v>151</v>
      </c>
      <c r="I1" s="151">
        <v>2017</v>
      </c>
      <c r="J1" s="151" t="s">
        <v>135</v>
      </c>
      <c r="K1" s="151">
        <v>2016</v>
      </c>
      <c r="L1" s="151" t="s">
        <v>130</v>
      </c>
      <c r="M1" s="1">
        <v>2015</v>
      </c>
    </row>
    <row r="2" spans="1:15" ht="3" hidden="1" customHeight="1" outlineLevel="1"/>
    <row r="3" spans="1:15" s="29" customFormat="1" ht="10.35" customHeight="1" collapsed="1">
      <c r="A3" s="27" t="s">
        <v>1</v>
      </c>
      <c r="B3" s="226">
        <f>B71</f>
        <v>3530.5399999999995</v>
      </c>
      <c r="C3" s="305">
        <f>IF((+B3/D3)&lt;0,"n.m.",IF(B3&lt;0,(+B3/D3-1)*-1,(+B3/D3-1)))</f>
        <v>-6.016481273455776E-3</v>
      </c>
      <c r="D3" s="226">
        <f>D71</f>
        <v>3551.91</v>
      </c>
      <c r="E3" s="226">
        <f>E71</f>
        <v>8106.93</v>
      </c>
      <c r="F3" s="305">
        <f>IF((+E3/G3)&lt;0,"n.m.",IF(E3&lt;0,(+E3/G3-1)*-1,(+E3/G3-1)))</f>
        <v>3.5701145196155082E-2</v>
      </c>
      <c r="G3" s="226">
        <f>G71</f>
        <v>7827.48</v>
      </c>
      <c r="H3" s="305">
        <f>IF((+G3/I3)&lt;0,"n.m.",IF(G3&lt;0,(+G3/I3-1)*-1,(+G3/I3-1)))</f>
        <v>0.14380655116784746</v>
      </c>
      <c r="I3" s="265">
        <f>I71</f>
        <v>6843.36</v>
      </c>
      <c r="J3" s="305">
        <f>IF((+I3/K3)&lt;0,"n.m.",IF(I3&lt;0,(+I3/K3-1)*-1,(+I3/K3-1)))</f>
        <v>0.10825258991629028</v>
      </c>
      <c r="K3" s="213">
        <f>K71</f>
        <v>6174.91</v>
      </c>
      <c r="L3" s="277">
        <f t="shared" ref="L3:L7" si="0">IF((+K3/M3)&lt;0,"n.m.",IF(K3&lt;0,(+K3/M3-1)*-1,(+K3/M3-1)))</f>
        <v>-3.0382827711827098E-2</v>
      </c>
      <c r="M3" s="28">
        <f>M71</f>
        <v>6368.4</v>
      </c>
    </row>
    <row r="4" spans="1:15" s="29" customFormat="1" ht="10.35" customHeight="1">
      <c r="A4" s="27" t="s">
        <v>2</v>
      </c>
      <c r="B4" s="226">
        <f>B101</f>
        <v>9352.0500000000011</v>
      </c>
      <c r="C4" s="305">
        <f t="shared" ref="C4:C7" si="1">IF((+B4/D4)&lt;0,"n.m.",IF(B4&lt;0,(+B4/D4-1)*-1,(+B4/D4-1)))</f>
        <v>1.483945178127688E-2</v>
      </c>
      <c r="D4" s="226">
        <f>D101</f>
        <v>9215.2999999999993</v>
      </c>
      <c r="E4" s="226">
        <f>E101</f>
        <v>8807.66</v>
      </c>
      <c r="F4" s="305">
        <f t="shared" ref="F4:F7" si="2">IF((+E4/G4)&lt;0,"n.m.",IF(E4&lt;0,(+E4/G4-1)*-1,(+E4/G4-1)))</f>
        <v>3.9867562456330496E-4</v>
      </c>
      <c r="G4" s="226">
        <f>G101</f>
        <v>8804.1500000000015</v>
      </c>
      <c r="H4" s="305">
        <f t="shared" ref="H4:H7" si="3">IF((+G4/I4)&lt;0,"n.m.",IF(G4&lt;0,(+G4/I4-1)*-1,(+G4/I4-1)))</f>
        <v>8.1848745278358948E-2</v>
      </c>
      <c r="I4" s="265">
        <f>I101</f>
        <v>8138.06</v>
      </c>
      <c r="J4" s="305">
        <f t="shared" ref="J4:J67" si="4">IF((+I4/K4)&lt;0,"n.m.",IF(I4&lt;0,(+I4/K4-1)*-1,(+I4/K4-1)))</f>
        <v>0.15755126656909058</v>
      </c>
      <c r="K4" s="213">
        <f>K101</f>
        <v>7030.41</v>
      </c>
      <c r="L4" s="277">
        <f t="shared" si="0"/>
        <v>0.30254286746519199</v>
      </c>
      <c r="M4" s="28">
        <f>M101</f>
        <v>5397.45</v>
      </c>
    </row>
    <row r="5" spans="1:15" s="29" customFormat="1" ht="10.35" customHeight="1">
      <c r="A5" s="27" t="s">
        <v>3</v>
      </c>
      <c r="B5" s="226">
        <v>3255.54</v>
      </c>
      <c r="C5" s="305">
        <f t="shared" si="1"/>
        <v>-2.9828988631910303E-3</v>
      </c>
      <c r="D5" s="226">
        <v>3265.28</v>
      </c>
      <c r="E5" s="226">
        <v>7555.75</v>
      </c>
      <c r="F5" s="305">
        <f t="shared" si="2"/>
        <v>4.3263739613963015E-2</v>
      </c>
      <c r="G5" s="226">
        <v>7242.4160000000002</v>
      </c>
      <c r="H5" s="305">
        <f t="shared" si="3"/>
        <v>0.13554691113546613</v>
      </c>
      <c r="I5" s="265">
        <v>6377.91</v>
      </c>
      <c r="J5" s="305">
        <f t="shared" si="4"/>
        <v>9.9177242677218613E-2</v>
      </c>
      <c r="K5" s="219">
        <v>5802.44</v>
      </c>
      <c r="L5" s="277">
        <f t="shared" si="0"/>
        <v>-1.5718138793235137E-2</v>
      </c>
      <c r="M5" s="28">
        <v>5895.1</v>
      </c>
    </row>
    <row r="6" spans="1:15" s="29" customFormat="1" ht="10.35" customHeight="1">
      <c r="A6" s="27" t="s">
        <v>116</v>
      </c>
      <c r="B6" s="226">
        <v>81.56</v>
      </c>
      <c r="C6" s="305" t="str">
        <f t="shared" si="1"/>
        <v>n.m.</v>
      </c>
      <c r="D6" s="226">
        <v>-29.04</v>
      </c>
      <c r="E6" s="226">
        <v>310.2</v>
      </c>
      <c r="F6" s="305">
        <f t="shared" si="2"/>
        <v>0.9219569015725102</v>
      </c>
      <c r="G6" s="226">
        <v>161.398</v>
      </c>
      <c r="H6" s="305">
        <f t="shared" si="3"/>
        <v>-0.18997239648682562</v>
      </c>
      <c r="I6" s="265">
        <v>199.25</v>
      </c>
      <c r="J6" s="305">
        <f t="shared" si="4"/>
        <v>0.17281770557419507</v>
      </c>
      <c r="K6" s="219">
        <v>169.89</v>
      </c>
      <c r="L6" s="277">
        <f t="shared" si="0"/>
        <v>0.6153846153846152</v>
      </c>
      <c r="M6" s="28">
        <v>105.17</v>
      </c>
    </row>
    <row r="7" spans="1:15" s="29" customFormat="1" ht="10.35" customHeight="1">
      <c r="A7" s="27" t="s">
        <v>126</v>
      </c>
      <c r="B7" s="226">
        <v>81.56</v>
      </c>
      <c r="C7" s="305" t="str">
        <f t="shared" si="1"/>
        <v>n.m.</v>
      </c>
      <c r="D7" s="226">
        <v>-29.04</v>
      </c>
      <c r="E7" s="226">
        <v>310.2</v>
      </c>
      <c r="F7" s="305">
        <f t="shared" si="2"/>
        <v>0.9219569015725102</v>
      </c>
      <c r="G7" s="226">
        <v>161.398</v>
      </c>
      <c r="H7" s="305">
        <f t="shared" si="3"/>
        <v>-0.18997239648682562</v>
      </c>
      <c r="I7" s="265">
        <v>199.25</v>
      </c>
      <c r="J7" s="305">
        <f t="shared" si="4"/>
        <v>0.17281770557419507</v>
      </c>
      <c r="K7" s="219">
        <v>169.89</v>
      </c>
      <c r="L7" s="277">
        <f t="shared" si="0"/>
        <v>0.6153846153846152</v>
      </c>
      <c r="M7" s="28">
        <v>105.17</v>
      </c>
    </row>
    <row r="8" spans="1:15" ht="10.35" customHeight="1">
      <c r="A8" s="30" t="s">
        <v>117</v>
      </c>
      <c r="B8" s="214">
        <f>B6/B5</f>
        <v>2.5052679432597973E-2</v>
      </c>
      <c r="C8" s="450"/>
      <c r="D8" s="214">
        <f>D6/D5</f>
        <v>-8.8935711485691876E-3</v>
      </c>
      <c r="E8" s="214">
        <f>E6/E5</f>
        <v>4.1054825794924393E-2</v>
      </c>
      <c r="F8" s="306"/>
      <c r="G8" s="214">
        <f>G6/G5</f>
        <v>2.2285104860035654E-2</v>
      </c>
      <c r="H8" s="306"/>
      <c r="I8" s="31">
        <f>I6/I5</f>
        <v>3.1240641526769742E-2</v>
      </c>
      <c r="J8" s="306"/>
      <c r="K8" s="214">
        <f>K6/K5</f>
        <v>2.9279061911885344E-2</v>
      </c>
      <c r="L8" s="31"/>
      <c r="M8" s="31">
        <f>M6/M5</f>
        <v>1.7840240199487708E-2</v>
      </c>
    </row>
    <row r="9" spans="1:15" ht="10.35" customHeight="1">
      <c r="A9" s="30" t="s">
        <v>118</v>
      </c>
      <c r="B9" s="215">
        <f>B3/Group!B2</f>
        <v>0.52537172176521707</v>
      </c>
      <c r="C9" s="450"/>
      <c r="D9" s="215">
        <f>D3/Group!D2</f>
        <v>0.47314702697086314</v>
      </c>
      <c r="E9" s="215">
        <f>E3/Group!E2</f>
        <v>0.48784117434319596</v>
      </c>
      <c r="F9" s="306"/>
      <c r="G9" s="215">
        <f>G3/Group!G2</f>
        <v>0.47954037522790088</v>
      </c>
      <c r="H9" s="306"/>
      <c r="I9" s="32">
        <f>I3/Group!I2</f>
        <v>0.46805358634118716</v>
      </c>
      <c r="J9" s="306"/>
      <c r="K9" s="215">
        <f>K3/Group!K2</f>
        <v>0.45770486019229067</v>
      </c>
      <c r="L9" s="32"/>
      <c r="M9" s="32">
        <f>M3/Group!M2</f>
        <v>0.44566178858147371</v>
      </c>
    </row>
    <row r="10" spans="1:15" ht="10.35" customHeight="1">
      <c r="A10" s="30" t="s">
        <v>119</v>
      </c>
      <c r="B10" s="215">
        <f>B4/Group!B3</f>
        <v>0.48105916810952776</v>
      </c>
      <c r="C10" s="450"/>
      <c r="D10" s="215">
        <f>D4/Group!D3</f>
        <v>0.50286457040174914</v>
      </c>
      <c r="E10" s="215">
        <f>E4/Group!E3</f>
        <v>0.50585360922793465</v>
      </c>
      <c r="F10" s="306"/>
      <c r="G10" s="215">
        <f>G4/Group!G3</f>
        <v>0.52096456093033561</v>
      </c>
      <c r="H10" s="306"/>
      <c r="I10" s="32">
        <f>I4/Group!I3</f>
        <v>0.49048479767500597</v>
      </c>
      <c r="J10" s="306"/>
      <c r="K10" s="215">
        <f>K4/Group!K3</f>
        <v>0.47452143962623661</v>
      </c>
      <c r="L10" s="32"/>
      <c r="M10" s="32">
        <f>M4/Group!M3</f>
        <v>0.41093434278065988</v>
      </c>
    </row>
    <row r="11" spans="1:15" ht="10.35" customHeight="1">
      <c r="A11" s="30"/>
      <c r="B11" s="451"/>
      <c r="C11" s="450"/>
      <c r="D11" s="451"/>
      <c r="E11" s="384"/>
      <c r="F11" s="306"/>
      <c r="G11" s="384"/>
      <c r="H11" s="306"/>
      <c r="I11" s="33"/>
      <c r="J11" s="306"/>
      <c r="K11" s="33"/>
      <c r="L11" s="33"/>
      <c r="M11" s="33"/>
    </row>
    <row r="12" spans="1:15" s="29" customFormat="1" ht="10.35" customHeight="1">
      <c r="A12" s="34" t="s">
        <v>85</v>
      </c>
      <c r="B12" s="452"/>
      <c r="C12" s="450"/>
      <c r="D12" s="452"/>
      <c r="E12" s="35"/>
      <c r="F12" s="306"/>
      <c r="G12" s="35"/>
      <c r="H12" s="306"/>
      <c r="I12" s="35"/>
      <c r="J12" s="306"/>
      <c r="K12" s="35"/>
      <c r="L12" s="35"/>
      <c r="M12" s="35"/>
    </row>
    <row r="13" spans="1:15" s="2" customFormat="1" ht="11.25">
      <c r="A13" s="36" t="s">
        <v>86</v>
      </c>
      <c r="B13" s="220">
        <v>19177</v>
      </c>
      <c r="C13" s="306">
        <f>IF((+B13/D13)&lt;0,"n.m.",IF(B13&lt;0,(+B13/D13-1)*-1,(+B13/D13-1)))</f>
        <v>2.9748160876335694E-2</v>
      </c>
      <c r="D13" s="220">
        <v>18623</v>
      </c>
      <c r="E13" s="220">
        <v>19078</v>
      </c>
      <c r="F13" s="306">
        <f>IF((+E13/G13)&lt;0,"n.m.",IF(E13&lt;0,(+E13/G13-1)*-1,(+E13/G13-1)))</f>
        <v>4.3483017010337521E-2</v>
      </c>
      <c r="G13" s="220">
        <v>18283</v>
      </c>
      <c r="H13" s="306">
        <f>IF((+G13/I13)&lt;0,"n.m.",IF(G13&lt;0,(+G13/I13-1)*-1,(+G13/I13-1)))</f>
        <v>3.1131915853589653E-2</v>
      </c>
      <c r="I13" s="37">
        <v>17731</v>
      </c>
      <c r="J13" s="306">
        <f t="shared" si="4"/>
        <v>6.3711080448737079E-2</v>
      </c>
      <c r="K13" s="220">
        <v>16669</v>
      </c>
      <c r="L13" s="266">
        <f>IF((+K13/M13)&lt;0,"n.m.",IF(K13&lt;0,(+K13/M13-1)*-1,(+K13/M13-1)))</f>
        <v>6.6034337855680469E-4</v>
      </c>
      <c r="M13" s="37">
        <v>16658</v>
      </c>
      <c r="N13" s="4"/>
      <c r="O13" s="4"/>
    </row>
    <row r="14" spans="1:15" s="2" customFormat="1" ht="11.25">
      <c r="A14" s="36" t="s">
        <v>87</v>
      </c>
      <c r="B14" s="220">
        <v>94</v>
      </c>
      <c r="C14" s="306">
        <f t="shared" ref="C14:C17" si="5">IF((+B14/D14)&lt;0,"n.m.",IF(B14&lt;0,(+B14/D14-1)*-1,(+B14/D14-1)))</f>
        <v>-0.13761467889908252</v>
      </c>
      <c r="D14" s="220">
        <v>109</v>
      </c>
      <c r="E14" s="220">
        <v>102</v>
      </c>
      <c r="F14" s="306">
        <f t="shared" ref="F14:F33" si="6">IF((+E14/G14)&lt;0,"n.m.",IF(E14&lt;0,(+E14/G14-1)*-1,(+E14/G14-1)))</f>
        <v>-1.9230769230769273E-2</v>
      </c>
      <c r="G14" s="220">
        <v>104</v>
      </c>
      <c r="H14" s="306">
        <f t="shared" ref="H14:H40" si="7">IF((+G14/I14)&lt;0,"n.m.",IF(G14&lt;0,(+G14/I14-1)*-1,(+G14/I14-1)))</f>
        <v>4.0000000000000036E-2</v>
      </c>
      <c r="I14" s="37">
        <v>100</v>
      </c>
      <c r="J14" s="306">
        <f t="shared" si="4"/>
        <v>-9.9009900990099098E-3</v>
      </c>
      <c r="K14" s="220">
        <v>101</v>
      </c>
      <c r="L14" s="266">
        <f t="shared" ref="L14:L40" si="8">IF((+K14/M14)&lt;0,"n.m.",IF(K14&lt;0,(+K14/M14-1)*-1,(+K14/M14-1)))</f>
        <v>-0.12931034482758619</v>
      </c>
      <c r="M14" s="37">
        <v>116</v>
      </c>
      <c r="N14" s="4"/>
      <c r="O14" s="4"/>
    </row>
    <row r="15" spans="1:15" s="2" customFormat="1" ht="11.25">
      <c r="A15" s="36" t="s">
        <v>88</v>
      </c>
      <c r="B15" s="220">
        <v>4855</v>
      </c>
      <c r="C15" s="306">
        <f t="shared" si="5"/>
        <v>7.3877460738774658E-2</v>
      </c>
      <c r="D15" s="220">
        <v>4521</v>
      </c>
      <c r="E15" s="220">
        <v>4648</v>
      </c>
      <c r="F15" s="306">
        <f t="shared" si="6"/>
        <v>0.12651478429471652</v>
      </c>
      <c r="G15" s="220">
        <v>4126</v>
      </c>
      <c r="H15" s="306">
        <f t="shared" si="7"/>
        <v>0.12763050013664934</v>
      </c>
      <c r="I15" s="37">
        <v>3659</v>
      </c>
      <c r="J15" s="306">
        <f t="shared" si="4"/>
        <v>5.5379290452841179E-2</v>
      </c>
      <c r="K15" s="220">
        <v>3467</v>
      </c>
      <c r="L15" s="266">
        <f t="shared" si="8"/>
        <v>2.6650873556411048E-2</v>
      </c>
      <c r="M15" s="37">
        <v>3377</v>
      </c>
      <c r="N15" s="4"/>
      <c r="O15" s="4"/>
    </row>
    <row r="16" spans="1:15" s="2" customFormat="1" ht="11.25">
      <c r="A16" s="36" t="s">
        <v>89</v>
      </c>
      <c r="B16" s="220">
        <v>57</v>
      </c>
      <c r="C16" s="306">
        <f t="shared" si="5"/>
        <v>5.555555555555558E-2</v>
      </c>
      <c r="D16" s="220">
        <v>54</v>
      </c>
      <c r="E16" s="220">
        <v>57</v>
      </c>
      <c r="F16" s="306">
        <f t="shared" si="6"/>
        <v>0</v>
      </c>
      <c r="G16" s="220">
        <v>57</v>
      </c>
      <c r="H16" s="306">
        <f t="shared" si="7"/>
        <v>1.7857142857142794E-2</v>
      </c>
      <c r="I16" s="37">
        <v>56</v>
      </c>
      <c r="J16" s="306">
        <f t="shared" si="4"/>
        <v>55</v>
      </c>
      <c r="K16" s="220">
        <v>1</v>
      </c>
      <c r="L16" s="266">
        <f t="shared" si="8"/>
        <v>0</v>
      </c>
      <c r="M16" s="37">
        <v>1</v>
      </c>
      <c r="N16" s="4"/>
      <c r="O16" s="4"/>
    </row>
    <row r="17" spans="1:15" s="6" customFormat="1" ht="11.25">
      <c r="A17" s="36" t="s">
        <v>90</v>
      </c>
      <c r="B17" s="220">
        <v>0</v>
      </c>
      <c r="C17" s="306">
        <f t="shared" si="5"/>
        <v>-1</v>
      </c>
      <c r="D17" s="220">
        <v>4</v>
      </c>
      <c r="E17" s="220">
        <v>4</v>
      </c>
      <c r="F17" s="306">
        <f t="shared" si="6"/>
        <v>-0.4285714285714286</v>
      </c>
      <c r="G17" s="220">
        <v>7</v>
      </c>
      <c r="H17" s="306">
        <f t="shared" si="7"/>
        <v>-0.36363636363636365</v>
      </c>
      <c r="I17" s="37">
        <v>11</v>
      </c>
      <c r="J17" s="306">
        <f t="shared" si="4"/>
        <v>1.2000000000000002</v>
      </c>
      <c r="K17" s="220">
        <v>5</v>
      </c>
      <c r="L17" s="266">
        <f t="shared" si="8"/>
        <v>4</v>
      </c>
      <c r="M17" s="37">
        <v>1</v>
      </c>
      <c r="N17" s="8"/>
      <c r="O17" s="8"/>
    </row>
    <row r="18" spans="1:15" s="6" customFormat="1" ht="11.25">
      <c r="A18" s="36" t="s">
        <v>132</v>
      </c>
      <c r="B18" s="220">
        <v>0</v>
      </c>
      <c r="C18" s="306"/>
      <c r="D18" s="220">
        <v>0</v>
      </c>
      <c r="E18" s="220">
        <v>0</v>
      </c>
      <c r="F18" s="306"/>
      <c r="G18" s="220">
        <v>0</v>
      </c>
      <c r="H18" s="306"/>
      <c r="I18" s="37">
        <v>0</v>
      </c>
      <c r="J18" s="306">
        <f t="shared" si="4"/>
        <v>-1</v>
      </c>
      <c r="K18" s="220">
        <v>128</v>
      </c>
      <c r="L18" s="266">
        <f t="shared" si="8"/>
        <v>-0.19999999999999996</v>
      </c>
      <c r="M18" s="37">
        <v>160</v>
      </c>
      <c r="N18" s="8"/>
      <c r="O18" s="8"/>
    </row>
    <row r="19" spans="1:15" s="6" customFormat="1" ht="11.25">
      <c r="A19" s="36" t="s">
        <v>91</v>
      </c>
      <c r="B19" s="220">
        <v>0</v>
      </c>
      <c r="C19" s="306"/>
      <c r="D19" s="220">
        <v>0</v>
      </c>
      <c r="E19" s="220">
        <v>0</v>
      </c>
      <c r="F19" s="306"/>
      <c r="G19" s="220">
        <v>0</v>
      </c>
      <c r="H19" s="306"/>
      <c r="I19" s="37">
        <v>0</v>
      </c>
      <c r="J19" s="306"/>
      <c r="K19" s="220">
        <v>0</v>
      </c>
      <c r="L19" s="266"/>
      <c r="M19" s="37">
        <v>0</v>
      </c>
      <c r="N19" s="8"/>
      <c r="O19" s="8"/>
    </row>
    <row r="20" spans="1:15" s="6" customFormat="1" ht="11.25">
      <c r="A20" s="36" t="s">
        <v>92</v>
      </c>
      <c r="B20" s="220">
        <v>118</v>
      </c>
      <c r="C20" s="306">
        <f t="shared" ref="C20:C21" si="9">IF((+B20/D20)&lt;0,"n.m.",IF(B20&lt;0,(+B20/D20-1)*-1,(+B20/D20-1)))</f>
        <v>0.22916666666666674</v>
      </c>
      <c r="D20" s="220">
        <v>96</v>
      </c>
      <c r="E20" s="220">
        <v>100</v>
      </c>
      <c r="F20" s="306">
        <f t="shared" si="6"/>
        <v>0.14942528735632177</v>
      </c>
      <c r="G20" s="220">
        <v>87</v>
      </c>
      <c r="H20" s="306">
        <f t="shared" si="7"/>
        <v>0.26086956521739135</v>
      </c>
      <c r="I20" s="37">
        <v>69</v>
      </c>
      <c r="J20" s="306">
        <f t="shared" si="4"/>
        <v>9.5238095238095344E-2</v>
      </c>
      <c r="K20" s="220">
        <v>63</v>
      </c>
      <c r="L20" s="266">
        <f t="shared" si="8"/>
        <v>-0.13698630136986301</v>
      </c>
      <c r="M20" s="37">
        <v>73</v>
      </c>
      <c r="N20" s="8"/>
      <c r="O20" s="8"/>
    </row>
    <row r="21" spans="1:15" s="6" customFormat="1" ht="11.25">
      <c r="A21" s="36" t="s">
        <v>93</v>
      </c>
      <c r="B21" s="220">
        <v>0</v>
      </c>
      <c r="C21" s="306">
        <f t="shared" si="9"/>
        <v>-1</v>
      </c>
      <c r="D21" s="220">
        <v>1</v>
      </c>
      <c r="E21" s="220">
        <v>1</v>
      </c>
      <c r="F21" s="306">
        <f t="shared" si="6"/>
        <v>-0.5</v>
      </c>
      <c r="G21" s="220">
        <v>2</v>
      </c>
      <c r="H21" s="306"/>
      <c r="I21" s="37">
        <v>0</v>
      </c>
      <c r="J21" s="306"/>
      <c r="K21" s="220">
        <v>0</v>
      </c>
      <c r="L21" s="266"/>
      <c r="M21" s="37">
        <v>0</v>
      </c>
      <c r="N21" s="8"/>
      <c r="O21" s="8"/>
    </row>
    <row r="22" spans="1:15" s="6" customFormat="1" ht="11.25">
      <c r="A22" s="36" t="s">
        <v>94</v>
      </c>
      <c r="B22" s="220">
        <v>0</v>
      </c>
      <c r="C22" s="306"/>
      <c r="D22" s="220">
        <v>0</v>
      </c>
      <c r="E22" s="220">
        <v>0</v>
      </c>
      <c r="F22" s="306"/>
      <c r="G22" s="220">
        <v>0</v>
      </c>
      <c r="H22" s="306"/>
      <c r="I22" s="37">
        <v>0</v>
      </c>
      <c r="J22" s="306"/>
      <c r="K22" s="220">
        <v>0</v>
      </c>
      <c r="L22" s="266"/>
      <c r="M22" s="37">
        <v>0</v>
      </c>
      <c r="N22" s="8"/>
      <c r="O22" s="8"/>
    </row>
    <row r="23" spans="1:15" s="6" customFormat="1" ht="11.25">
      <c r="A23" s="36" t="s">
        <v>95</v>
      </c>
      <c r="B23" s="220">
        <v>0</v>
      </c>
      <c r="C23" s="306"/>
      <c r="D23" s="220">
        <v>0</v>
      </c>
      <c r="E23" s="220">
        <v>0</v>
      </c>
      <c r="F23" s="306"/>
      <c r="G23" s="220">
        <v>0</v>
      </c>
      <c r="H23" s="306"/>
      <c r="I23" s="37">
        <v>0</v>
      </c>
      <c r="J23" s="306"/>
      <c r="K23" s="220">
        <v>0</v>
      </c>
      <c r="L23" s="266"/>
      <c r="M23" s="37">
        <v>0</v>
      </c>
      <c r="N23" s="8"/>
      <c r="O23" s="8"/>
    </row>
    <row r="24" spans="1:15" s="6" customFormat="1" ht="11.25">
      <c r="A24" s="36" t="s">
        <v>96</v>
      </c>
      <c r="B24" s="220">
        <v>0</v>
      </c>
      <c r="C24" s="306"/>
      <c r="D24" s="220">
        <v>0</v>
      </c>
      <c r="E24" s="220">
        <v>0</v>
      </c>
      <c r="F24" s="306">
        <f t="shared" si="6"/>
        <v>-1</v>
      </c>
      <c r="G24" s="220">
        <v>1</v>
      </c>
      <c r="H24" s="306"/>
      <c r="I24" s="37">
        <v>0</v>
      </c>
      <c r="J24" s="306"/>
      <c r="K24" s="220">
        <v>0</v>
      </c>
      <c r="L24" s="266"/>
      <c r="M24" s="37">
        <v>0</v>
      </c>
      <c r="N24" s="8"/>
      <c r="O24" s="8"/>
    </row>
    <row r="25" spans="1:15" s="6" customFormat="1" ht="11.25">
      <c r="A25" s="36" t="s">
        <v>97</v>
      </c>
      <c r="B25" s="220">
        <v>53</v>
      </c>
      <c r="C25" s="306">
        <f t="shared" ref="C25:C33" si="10">IF((+B25/D25)&lt;0,"n.m.",IF(B25&lt;0,(+B25/D25-1)*-1,(+B25/D25-1)))</f>
        <v>-0.20895522388059706</v>
      </c>
      <c r="D25" s="220">
        <v>67</v>
      </c>
      <c r="E25" s="220">
        <v>68</v>
      </c>
      <c r="F25" s="306">
        <f t="shared" si="6"/>
        <v>-0.10526315789473684</v>
      </c>
      <c r="G25" s="220">
        <v>76</v>
      </c>
      <c r="H25" s="306">
        <f t="shared" si="7"/>
        <v>-2.5641025641025661E-2</v>
      </c>
      <c r="I25" s="37">
        <v>78</v>
      </c>
      <c r="J25" s="306">
        <f t="shared" si="4"/>
        <v>-3.703703703703709E-2</v>
      </c>
      <c r="K25" s="220">
        <v>81</v>
      </c>
      <c r="L25" s="266">
        <f t="shared" si="8"/>
        <v>-4.705882352941182E-2</v>
      </c>
      <c r="M25" s="37">
        <v>85</v>
      </c>
      <c r="N25" s="8"/>
      <c r="O25" s="8"/>
    </row>
    <row r="26" spans="1:15" s="6" customFormat="1" ht="11.25">
      <c r="A26" s="36" t="s">
        <v>98</v>
      </c>
      <c r="B26" s="173">
        <v>472</v>
      </c>
      <c r="C26" s="306">
        <f t="shared" si="10"/>
        <v>-6.7193675889328008E-2</v>
      </c>
      <c r="D26" s="173">
        <v>506</v>
      </c>
      <c r="E26" s="173">
        <v>495</v>
      </c>
      <c r="F26" s="306">
        <f t="shared" si="6"/>
        <v>-2.1739130434782594E-2</v>
      </c>
      <c r="G26" s="173">
        <v>506</v>
      </c>
      <c r="H26" s="306">
        <f t="shared" si="7"/>
        <v>-1.9379844961240345E-2</v>
      </c>
      <c r="I26" s="39">
        <v>516</v>
      </c>
      <c r="J26" s="306">
        <f t="shared" si="4"/>
        <v>1.9417475728156219E-3</v>
      </c>
      <c r="K26" s="221">
        <v>515</v>
      </c>
      <c r="L26" s="266">
        <f t="shared" si="8"/>
        <v>-0.11663807890222988</v>
      </c>
      <c r="M26" s="39">
        <v>583</v>
      </c>
      <c r="N26" s="8"/>
      <c r="O26" s="8"/>
    </row>
    <row r="27" spans="1:15" s="6" customFormat="1" ht="11.25">
      <c r="A27" s="36" t="s">
        <v>99</v>
      </c>
      <c r="B27" s="220">
        <v>309</v>
      </c>
      <c r="C27" s="306">
        <f t="shared" si="10"/>
        <v>-6.0790273556231011E-2</v>
      </c>
      <c r="D27" s="220">
        <v>329</v>
      </c>
      <c r="E27" s="220">
        <v>345</v>
      </c>
      <c r="F27" s="306">
        <f t="shared" si="6"/>
        <v>-4.166666666666663E-2</v>
      </c>
      <c r="G27" s="220">
        <v>360</v>
      </c>
      <c r="H27" s="306">
        <f t="shared" si="7"/>
        <v>-1.3698630136986356E-2</v>
      </c>
      <c r="I27" s="37">
        <v>365</v>
      </c>
      <c r="J27" s="306">
        <f t="shared" si="4"/>
        <v>-1.0840108401083959E-2</v>
      </c>
      <c r="K27" s="220">
        <v>369</v>
      </c>
      <c r="L27" s="266">
        <f t="shared" si="8"/>
        <v>-0.12142857142857144</v>
      </c>
      <c r="M27" s="37">
        <v>420</v>
      </c>
      <c r="N27" s="8"/>
      <c r="O27" s="8"/>
    </row>
    <row r="28" spans="1:15" s="2" customFormat="1" ht="11.25">
      <c r="A28" s="36" t="s">
        <v>100</v>
      </c>
      <c r="B28" s="220">
        <v>4</v>
      </c>
      <c r="C28" s="306">
        <f t="shared" si="10"/>
        <v>-0.19999999999999996</v>
      </c>
      <c r="D28" s="220">
        <v>5</v>
      </c>
      <c r="E28" s="220">
        <v>4</v>
      </c>
      <c r="F28" s="306">
        <f t="shared" si="6"/>
        <v>0</v>
      </c>
      <c r="G28" s="220">
        <v>4</v>
      </c>
      <c r="H28" s="306">
        <f t="shared" si="7"/>
        <v>0.33333333333333326</v>
      </c>
      <c r="I28" s="37">
        <v>3</v>
      </c>
      <c r="J28" s="306">
        <f t="shared" si="4"/>
        <v>0.5</v>
      </c>
      <c r="K28" s="220">
        <v>2</v>
      </c>
      <c r="L28" s="266">
        <f t="shared" si="8"/>
        <v>-0.5</v>
      </c>
      <c r="M28" s="37">
        <v>4</v>
      </c>
      <c r="N28" s="4"/>
      <c r="O28" s="4"/>
    </row>
    <row r="29" spans="1:15" s="6" customFormat="1" ht="11.25">
      <c r="A29" s="36" t="s">
        <v>101</v>
      </c>
      <c r="B29" s="220">
        <v>253</v>
      </c>
      <c r="C29" s="306">
        <f t="shared" si="10"/>
        <v>-9.6428571428571419E-2</v>
      </c>
      <c r="D29" s="220">
        <v>280</v>
      </c>
      <c r="E29" s="220">
        <v>278</v>
      </c>
      <c r="F29" s="306">
        <f t="shared" si="6"/>
        <v>1.4598540145985384E-2</v>
      </c>
      <c r="G29" s="220">
        <v>274</v>
      </c>
      <c r="H29" s="306">
        <f t="shared" si="7"/>
        <v>-0.21264367816091956</v>
      </c>
      <c r="I29" s="37">
        <v>348</v>
      </c>
      <c r="J29" s="306">
        <f t="shared" si="4"/>
        <v>-0.27348643006263051</v>
      </c>
      <c r="K29" s="220">
        <v>479</v>
      </c>
      <c r="L29" s="266">
        <f t="shared" si="8"/>
        <v>-6.262230919765166E-2</v>
      </c>
      <c r="M29" s="37">
        <v>511</v>
      </c>
      <c r="N29" s="8"/>
      <c r="O29" s="8"/>
    </row>
    <row r="30" spans="1:15" s="6" customFormat="1" ht="11.25">
      <c r="A30" s="36" t="s">
        <v>102</v>
      </c>
      <c r="B30" s="220">
        <v>120</v>
      </c>
      <c r="C30" s="306">
        <f t="shared" si="10"/>
        <v>-0.36507936507936511</v>
      </c>
      <c r="D30" s="220">
        <v>189</v>
      </c>
      <c r="E30" s="220">
        <v>179</v>
      </c>
      <c r="F30" s="306">
        <f t="shared" si="6"/>
        <v>-0.16744186046511633</v>
      </c>
      <c r="G30" s="220">
        <v>215</v>
      </c>
      <c r="H30" s="306">
        <f t="shared" si="7"/>
        <v>-8.8983050847457612E-2</v>
      </c>
      <c r="I30" s="37">
        <v>236</v>
      </c>
      <c r="J30" s="306">
        <f t="shared" si="4"/>
        <v>0.81538461538461537</v>
      </c>
      <c r="K30" s="220">
        <v>130</v>
      </c>
      <c r="L30" s="266">
        <f t="shared" si="8"/>
        <v>-0.19753086419753085</v>
      </c>
      <c r="M30" s="37">
        <v>162</v>
      </c>
      <c r="N30" s="8"/>
      <c r="O30" s="8"/>
    </row>
    <row r="31" spans="1:15" s="6" customFormat="1" ht="11.25">
      <c r="A31" s="36" t="s">
        <v>103</v>
      </c>
      <c r="B31" s="220">
        <v>3</v>
      </c>
      <c r="C31" s="306">
        <f t="shared" si="10"/>
        <v>-0.85</v>
      </c>
      <c r="D31" s="220">
        <v>20</v>
      </c>
      <c r="E31" s="220">
        <v>12</v>
      </c>
      <c r="F31" s="306">
        <f t="shared" si="6"/>
        <v>-0.83098591549295775</v>
      </c>
      <c r="G31" s="220">
        <v>71</v>
      </c>
      <c r="H31" s="306">
        <f t="shared" si="7"/>
        <v>-0.18390804597701149</v>
      </c>
      <c r="I31" s="37">
        <v>87</v>
      </c>
      <c r="J31" s="306">
        <f t="shared" si="4"/>
        <v>-0.11224489795918369</v>
      </c>
      <c r="K31" s="220">
        <v>98</v>
      </c>
      <c r="L31" s="266">
        <f t="shared" si="8"/>
        <v>-0.48691099476439792</v>
      </c>
      <c r="M31" s="37">
        <v>191</v>
      </c>
      <c r="N31" s="8"/>
      <c r="O31" s="8"/>
    </row>
    <row r="32" spans="1:15" s="6" customFormat="1" ht="11.25">
      <c r="A32" s="36" t="s">
        <v>104</v>
      </c>
      <c r="B32" s="220">
        <v>2</v>
      </c>
      <c r="C32" s="306">
        <f t="shared" si="10"/>
        <v>-0.66666666666666674</v>
      </c>
      <c r="D32" s="220">
        <v>6</v>
      </c>
      <c r="E32" s="220">
        <v>6</v>
      </c>
      <c r="F32" s="306">
        <f t="shared" si="6"/>
        <v>-0.75</v>
      </c>
      <c r="G32" s="220">
        <v>24</v>
      </c>
      <c r="H32" s="306">
        <f t="shared" si="7"/>
        <v>-0.47826086956521741</v>
      </c>
      <c r="I32" s="37">
        <v>46</v>
      </c>
      <c r="J32" s="306">
        <f t="shared" si="4"/>
        <v>-0.16363636363636369</v>
      </c>
      <c r="K32" s="220">
        <v>55</v>
      </c>
      <c r="L32" s="266">
        <f t="shared" si="8"/>
        <v>0.27906976744186052</v>
      </c>
      <c r="M32" s="37">
        <v>43</v>
      </c>
      <c r="N32" s="8"/>
      <c r="O32" s="8"/>
    </row>
    <row r="33" spans="1:15" s="6" customFormat="1" ht="11.25">
      <c r="A33" s="36" t="s">
        <v>105</v>
      </c>
      <c r="B33" s="222">
        <v>3</v>
      </c>
      <c r="C33" s="306">
        <f t="shared" si="10"/>
        <v>-0.7857142857142857</v>
      </c>
      <c r="D33" s="222">
        <v>14</v>
      </c>
      <c r="E33" s="222">
        <v>9</v>
      </c>
      <c r="F33" s="306">
        <f t="shared" si="6"/>
        <v>-0.64</v>
      </c>
      <c r="G33" s="222">
        <v>25</v>
      </c>
      <c r="H33" s="306">
        <f t="shared" si="7"/>
        <v>-0.5901639344262295</v>
      </c>
      <c r="I33" s="41">
        <v>61</v>
      </c>
      <c r="J33" s="306">
        <f t="shared" si="4"/>
        <v>-0.12857142857142856</v>
      </c>
      <c r="K33" s="222">
        <v>70</v>
      </c>
      <c r="L33" s="266">
        <f t="shared" si="8"/>
        <v>1</v>
      </c>
      <c r="M33" s="41">
        <v>35</v>
      </c>
      <c r="N33" s="8"/>
      <c r="O33" s="8"/>
    </row>
    <row r="34" spans="1:15" s="6" customFormat="1" ht="11.25">
      <c r="A34" s="36" t="s">
        <v>106</v>
      </c>
      <c r="B34" s="222">
        <v>0</v>
      </c>
      <c r="C34" s="306"/>
      <c r="D34" s="222">
        <v>0</v>
      </c>
      <c r="E34" s="222">
        <v>0</v>
      </c>
      <c r="F34" s="306"/>
      <c r="G34" s="222">
        <v>0</v>
      </c>
      <c r="H34" s="306"/>
      <c r="I34" s="41">
        <v>0</v>
      </c>
      <c r="J34" s="306"/>
      <c r="K34" s="41">
        <v>0</v>
      </c>
      <c r="L34" s="266">
        <f t="shared" si="8"/>
        <v>-1</v>
      </c>
      <c r="M34" s="41">
        <v>1</v>
      </c>
      <c r="N34" s="8"/>
      <c r="O34" s="8"/>
    </row>
    <row r="35" spans="1:15" s="6" customFormat="1" ht="11.25">
      <c r="A35" s="40" t="s">
        <v>86</v>
      </c>
      <c r="B35" s="174">
        <f>B13</f>
        <v>19177</v>
      </c>
      <c r="C35" s="306">
        <f t="shared" ref="C35:C40" si="11">IF((+B35/D35)&lt;0,"n.m.",IF(B35&lt;0,(+B35/D35-1)*-1,(+B35/D35-1)))</f>
        <v>2.9748160876335694E-2</v>
      </c>
      <c r="D35" s="174">
        <f>D13</f>
        <v>18623</v>
      </c>
      <c r="E35" s="174">
        <f>E13</f>
        <v>19078</v>
      </c>
      <c r="F35" s="306">
        <f t="shared" ref="F35:F40" si="12">IF((+E35/G35)&lt;0,"n.m.",IF(E35&lt;0,(+E35/G35-1)*-1,(+E35/G35-1)))</f>
        <v>4.3483017010337521E-2</v>
      </c>
      <c r="G35" s="174">
        <f>G13</f>
        <v>18283</v>
      </c>
      <c r="H35" s="306">
        <f t="shared" si="7"/>
        <v>3.1131915853589653E-2</v>
      </c>
      <c r="I35" s="42">
        <f>I13</f>
        <v>17731</v>
      </c>
      <c r="J35" s="306">
        <f t="shared" si="4"/>
        <v>6.3711080448737079E-2</v>
      </c>
      <c r="K35" s="174">
        <f>K13</f>
        <v>16669</v>
      </c>
      <c r="L35" s="266">
        <f t="shared" si="8"/>
        <v>6.6034337855680469E-4</v>
      </c>
      <c r="M35" s="42">
        <f>M13</f>
        <v>16658</v>
      </c>
      <c r="N35" s="8"/>
      <c r="O35" s="8"/>
    </row>
    <row r="36" spans="1:15" s="6" customFormat="1" ht="11.25">
      <c r="A36" s="40" t="s">
        <v>87</v>
      </c>
      <c r="B36" s="174">
        <f>B14</f>
        <v>94</v>
      </c>
      <c r="C36" s="306">
        <f t="shared" si="11"/>
        <v>-0.13761467889908252</v>
      </c>
      <c r="D36" s="174">
        <f>D14</f>
        <v>109</v>
      </c>
      <c r="E36" s="174">
        <f>E14</f>
        <v>102</v>
      </c>
      <c r="F36" s="306">
        <f t="shared" si="12"/>
        <v>-1.9230769230769273E-2</v>
      </c>
      <c r="G36" s="174">
        <f>G14</f>
        <v>104</v>
      </c>
      <c r="H36" s="306">
        <f t="shared" si="7"/>
        <v>4.0000000000000036E-2</v>
      </c>
      <c r="I36" s="42">
        <f>I14</f>
        <v>100</v>
      </c>
      <c r="J36" s="306">
        <f t="shared" si="4"/>
        <v>-9.9009900990099098E-3</v>
      </c>
      <c r="K36" s="174">
        <f>K14</f>
        <v>101</v>
      </c>
      <c r="L36" s="266">
        <f t="shared" si="8"/>
        <v>-0.12931034482758619</v>
      </c>
      <c r="M36" s="42">
        <f>M14</f>
        <v>116</v>
      </c>
      <c r="N36" s="8"/>
      <c r="O36" s="8"/>
    </row>
    <row r="37" spans="1:15" s="2" customFormat="1" ht="11.25">
      <c r="A37" s="40" t="s">
        <v>107</v>
      </c>
      <c r="B37" s="173">
        <f>B15+B16+B17+B18+B19+B20+B21+B22+B23+B24</f>
        <v>5030</v>
      </c>
      <c r="C37" s="306">
        <f t="shared" si="11"/>
        <v>7.5705731394354103E-2</v>
      </c>
      <c r="D37" s="173">
        <f>D15+D16+D17+D18+D19+D20+D21+D22+D23+D24</f>
        <v>4676</v>
      </c>
      <c r="E37" s="173">
        <f>E15+E16+E17+E18+E19+E20+E21+E22+E23+E24</f>
        <v>4810</v>
      </c>
      <c r="F37" s="306">
        <f t="shared" si="12"/>
        <v>0.12383177570093462</v>
      </c>
      <c r="G37" s="173">
        <f>G15+G16+G17+G18+G19+G20+G21+G22+G23+G24</f>
        <v>4280</v>
      </c>
      <c r="H37" s="306">
        <f t="shared" si="7"/>
        <v>0.12779973649538867</v>
      </c>
      <c r="I37" s="39">
        <f>I15+I16+I17+I18+I19+I20+I21+I22+I23+I24</f>
        <v>3795</v>
      </c>
      <c r="J37" s="306">
        <f t="shared" si="4"/>
        <v>3.5753275109170257E-2</v>
      </c>
      <c r="K37" s="173">
        <f>K15+K16+K17+K18+K19+K20+K21+K22+K23+K24</f>
        <v>3664</v>
      </c>
      <c r="L37" s="266">
        <f t="shared" si="8"/>
        <v>1.439645625692143E-2</v>
      </c>
      <c r="M37" s="39">
        <f>M15+M16+M17+M18+M19+M20+M21+M22+M23+M24</f>
        <v>3612</v>
      </c>
      <c r="N37" s="4"/>
      <c r="O37" s="4"/>
    </row>
    <row r="38" spans="1:15" s="2" customFormat="1" ht="11.25">
      <c r="A38" s="40" t="s">
        <v>108</v>
      </c>
      <c r="B38" s="173">
        <f>B25+B26+B27+B28+B29+B30</f>
        <v>1211</v>
      </c>
      <c r="C38" s="306">
        <f t="shared" si="11"/>
        <v>-0.11991279069767447</v>
      </c>
      <c r="D38" s="173">
        <f>D25+D26+D27+D28+D29+D30</f>
        <v>1376</v>
      </c>
      <c r="E38" s="173">
        <f>E25+E26+E27+E28+E29+E30</f>
        <v>1369</v>
      </c>
      <c r="F38" s="306">
        <f t="shared" si="12"/>
        <v>-4.5993031358884995E-2</v>
      </c>
      <c r="G38" s="173">
        <f>G25+G26+G27+G28+G29+G30</f>
        <v>1435</v>
      </c>
      <c r="H38" s="306">
        <f t="shared" si="7"/>
        <v>-7.1798188874514834E-2</v>
      </c>
      <c r="I38" s="39">
        <f>I25+I26+I27+I28+I29+I30</f>
        <v>1546</v>
      </c>
      <c r="J38" s="306">
        <f t="shared" si="4"/>
        <v>-1.9035532994923887E-2</v>
      </c>
      <c r="K38" s="173">
        <f>K25+K26+K27+K28+K29+K30</f>
        <v>1576</v>
      </c>
      <c r="L38" s="266">
        <f t="shared" si="8"/>
        <v>-0.1070821529745043</v>
      </c>
      <c r="M38" s="39">
        <f>M25+M26+M27+M28+M29+M30</f>
        <v>1765</v>
      </c>
      <c r="N38" s="4"/>
      <c r="O38" s="4"/>
    </row>
    <row r="39" spans="1:15" s="6" customFormat="1" ht="11.25">
      <c r="A39" s="40" t="s">
        <v>109</v>
      </c>
      <c r="B39" s="173">
        <f>B31+B32+B33+B34</f>
        <v>8</v>
      </c>
      <c r="C39" s="306">
        <f t="shared" si="11"/>
        <v>-0.8</v>
      </c>
      <c r="D39" s="173">
        <f>D31+D32+D33+D34</f>
        <v>40</v>
      </c>
      <c r="E39" s="173">
        <f>E31+E32+E33+E34</f>
        <v>27</v>
      </c>
      <c r="F39" s="306">
        <f t="shared" si="12"/>
        <v>-0.77500000000000002</v>
      </c>
      <c r="G39" s="173">
        <f>G31+G32+G33+G34</f>
        <v>120</v>
      </c>
      <c r="H39" s="306">
        <f t="shared" si="7"/>
        <v>-0.38144329896907214</v>
      </c>
      <c r="I39" s="39">
        <f>I31+I32+I33+I34</f>
        <v>194</v>
      </c>
      <c r="J39" s="306">
        <f t="shared" si="4"/>
        <v>-0.1300448430493274</v>
      </c>
      <c r="K39" s="173">
        <f>K31+K32+K33+K34</f>
        <v>223</v>
      </c>
      <c r="L39" s="266">
        <f t="shared" si="8"/>
        <v>-0.17407407407407405</v>
      </c>
      <c r="M39" s="39">
        <f>M31+M32+M33+M34</f>
        <v>270</v>
      </c>
      <c r="N39" s="8"/>
      <c r="O39" s="8"/>
    </row>
    <row r="40" spans="1:15" s="2" customFormat="1" ht="11.25">
      <c r="A40" s="34" t="s">
        <v>110</v>
      </c>
      <c r="B40" s="175">
        <f>SUM(B35:B39)</f>
        <v>25520</v>
      </c>
      <c r="C40" s="305">
        <f t="shared" si="11"/>
        <v>2.8037383177569986E-2</v>
      </c>
      <c r="D40" s="175">
        <f>SUM(D35:D39)</f>
        <v>24824</v>
      </c>
      <c r="E40" s="175">
        <f>SUM(E35:E39)</f>
        <v>25386</v>
      </c>
      <c r="F40" s="305">
        <f t="shared" si="12"/>
        <v>4.8055486747584863E-2</v>
      </c>
      <c r="G40" s="175">
        <f>SUM(G35:G39)</f>
        <v>24222</v>
      </c>
      <c r="H40" s="305">
        <f t="shared" si="7"/>
        <v>3.663442608918932E-2</v>
      </c>
      <c r="I40" s="43">
        <f>SUM(I35:I39)</f>
        <v>23366</v>
      </c>
      <c r="J40" s="305">
        <f t="shared" si="4"/>
        <v>5.0960284262132838E-2</v>
      </c>
      <c r="K40" s="175">
        <f>SUM(K35:K39)</f>
        <v>22233</v>
      </c>
      <c r="L40" s="277">
        <f t="shared" si="8"/>
        <v>-8.3849962089113106E-3</v>
      </c>
      <c r="M40" s="43">
        <f>SUM(M35:M39)</f>
        <v>22421</v>
      </c>
      <c r="N40" s="4"/>
      <c r="O40" s="4"/>
    </row>
    <row r="41" spans="1:15" s="47" customFormat="1" ht="11.25">
      <c r="A41" s="44" t="s">
        <v>120</v>
      </c>
      <c r="B41" s="176">
        <f>B40/Group!B155</f>
        <v>0.34443199762460691</v>
      </c>
      <c r="C41" s="450"/>
      <c r="D41" s="176">
        <f>D40/Group!D155</f>
        <v>0.3239124194263942</v>
      </c>
      <c r="E41" s="176">
        <f>E40/Group!E155</f>
        <v>0.33003549188106968</v>
      </c>
      <c r="F41" s="306"/>
      <c r="G41" s="176">
        <f>G40/Group!G155</f>
        <v>0.32099125364431486</v>
      </c>
      <c r="H41" s="306"/>
      <c r="I41" s="45">
        <f>I40/Group!I155</f>
        <v>0.3205036760671568</v>
      </c>
      <c r="J41" s="306"/>
      <c r="K41" s="176">
        <f>K40/Group!K155</f>
        <v>0.3094837066217514</v>
      </c>
      <c r="L41" s="176"/>
      <c r="M41" s="45">
        <f>M40/Group!M155</f>
        <v>0.30581736343176702</v>
      </c>
      <c r="N41" s="46"/>
      <c r="O41" s="46"/>
    </row>
    <row r="42" spans="1:15" ht="12" customHeight="1">
      <c r="A42" s="30"/>
      <c r="B42" s="453"/>
      <c r="C42" s="450"/>
      <c r="D42" s="453"/>
      <c r="E42" s="33"/>
      <c r="F42" s="306"/>
      <c r="G42" s="33"/>
      <c r="H42" s="306"/>
      <c r="I42" s="33"/>
      <c r="J42" s="306"/>
      <c r="K42" s="33"/>
      <c r="L42" s="33"/>
      <c r="M42" s="33"/>
    </row>
    <row r="43" spans="1:15" s="29" customFormat="1" ht="12" customHeight="1">
      <c r="A43" s="34" t="s">
        <v>1</v>
      </c>
      <c r="B43" s="452"/>
      <c r="C43" s="450"/>
      <c r="D43" s="452"/>
      <c r="E43" s="35"/>
      <c r="F43" s="306"/>
      <c r="G43" s="35"/>
      <c r="H43" s="306"/>
      <c r="I43" s="35"/>
      <c r="J43" s="306"/>
      <c r="K43" s="35"/>
      <c r="L43" s="35"/>
      <c r="M43" s="35"/>
    </row>
    <row r="44" spans="1:15" s="2" customFormat="1" ht="11.25">
      <c r="A44" s="36" t="s">
        <v>86</v>
      </c>
      <c r="B44" s="227">
        <v>2815.5299999999997</v>
      </c>
      <c r="C44" s="306">
        <f t="shared" ref="C44:C48" si="13">IF((+B44/D44)&lt;0,"n.m.",IF(B44&lt;0,(+B44/D44-1)*-1,(+B44/D44-1)))</f>
        <v>2.9923801177713649E-3</v>
      </c>
      <c r="D44" s="227">
        <v>2807.13</v>
      </c>
      <c r="E44" s="227">
        <v>6401.95</v>
      </c>
      <c r="F44" s="306">
        <f t="shared" ref="F44:F62" si="14">IF((+E44/G44)&lt;0,"n.m.",IF(E44&lt;0,(+E44/G44-1)*-1,(+E44/G44-1)))</f>
        <v>2.9149827509155068E-2</v>
      </c>
      <c r="G44" s="227">
        <v>6220.62</v>
      </c>
      <c r="H44" s="306">
        <f t="shared" ref="H44:H101" si="15">IF((+G44/I44)&lt;0,"n.m.",IF(G44&lt;0,(+G44/I44-1)*-1,(+G44/I44-1)))</f>
        <v>0.17043570865452828</v>
      </c>
      <c r="I44" s="48">
        <v>5314.79</v>
      </c>
      <c r="J44" s="306">
        <f t="shared" si="4"/>
        <v>0.14193416698895622</v>
      </c>
      <c r="K44" s="223">
        <v>4654.2</v>
      </c>
      <c r="L44" s="266">
        <f t="shared" ref="L44:L70" si="16">IF((+K44/M44)&lt;0,"n.m.",IF(K44&lt;0,(+K44/M44-1)*-1,(+K44/M44-1)))</f>
        <v>-2.3685761749102641E-3</v>
      </c>
      <c r="M44" s="48">
        <v>4665.25</v>
      </c>
      <c r="N44" s="4"/>
      <c r="O44" s="4"/>
    </row>
    <row r="45" spans="1:15" s="2" customFormat="1" ht="11.25">
      <c r="A45" s="36" t="s">
        <v>87</v>
      </c>
      <c r="B45" s="227">
        <v>7.7</v>
      </c>
      <c r="C45" s="306">
        <f t="shared" si="13"/>
        <v>-0.52991452991452981</v>
      </c>
      <c r="D45" s="227">
        <v>16.38</v>
      </c>
      <c r="E45" s="227">
        <v>28.03</v>
      </c>
      <c r="F45" s="306">
        <f t="shared" si="14"/>
        <v>0.13298302344381563</v>
      </c>
      <c r="G45" s="227">
        <v>24.740000000000002</v>
      </c>
      <c r="H45" s="306">
        <f t="shared" si="15"/>
        <v>0.24321608040201026</v>
      </c>
      <c r="I45" s="48">
        <v>19.899999999999999</v>
      </c>
      <c r="J45" s="306">
        <f t="shared" si="4"/>
        <v>-0.2710622710622711</v>
      </c>
      <c r="K45" s="223">
        <v>27.3</v>
      </c>
      <c r="L45" s="266">
        <f t="shared" si="16"/>
        <v>0.40432098765432101</v>
      </c>
      <c r="M45" s="48">
        <v>19.440000000000001</v>
      </c>
      <c r="N45" s="4"/>
      <c r="O45" s="4"/>
    </row>
    <row r="46" spans="1:15" s="2" customFormat="1" ht="11.25">
      <c r="A46" s="36" t="s">
        <v>88</v>
      </c>
      <c r="B46" s="227">
        <v>455.51</v>
      </c>
      <c r="C46" s="306">
        <f t="shared" si="13"/>
        <v>0.19899449869705976</v>
      </c>
      <c r="D46" s="227">
        <v>379.91</v>
      </c>
      <c r="E46" s="227">
        <v>999.03</v>
      </c>
      <c r="F46" s="306">
        <f t="shared" si="14"/>
        <v>0.11643422287783278</v>
      </c>
      <c r="G46" s="227">
        <v>894.84</v>
      </c>
      <c r="H46" s="306">
        <f t="shared" si="15"/>
        <v>0.13712782585490468</v>
      </c>
      <c r="I46" s="48">
        <v>786.93</v>
      </c>
      <c r="J46" s="306">
        <f t="shared" si="4"/>
        <v>0.10715139918679739</v>
      </c>
      <c r="K46" s="223">
        <v>710.77</v>
      </c>
      <c r="L46" s="266">
        <f t="shared" si="16"/>
        <v>-0.16585102512645378</v>
      </c>
      <c r="M46" s="48">
        <v>852.09</v>
      </c>
      <c r="N46" s="4"/>
      <c r="O46" s="4"/>
    </row>
    <row r="47" spans="1:15" s="2" customFormat="1" ht="11.25">
      <c r="A47" s="36" t="s">
        <v>89</v>
      </c>
      <c r="B47" s="227">
        <v>0.17</v>
      </c>
      <c r="C47" s="306">
        <f t="shared" si="13"/>
        <v>-0.65306122448979587</v>
      </c>
      <c r="D47" s="227">
        <v>0.49</v>
      </c>
      <c r="E47" s="227">
        <v>0.57999999999999996</v>
      </c>
      <c r="F47" s="306">
        <f t="shared" si="14"/>
        <v>-7.9365079365079416E-2</v>
      </c>
      <c r="G47" s="227">
        <v>0.63</v>
      </c>
      <c r="H47" s="306">
        <f t="shared" si="15"/>
        <v>5.3</v>
      </c>
      <c r="I47" s="48">
        <v>0.1</v>
      </c>
      <c r="J47" s="306">
        <f t="shared" si="4"/>
        <v>-9.0909090909090828E-2</v>
      </c>
      <c r="K47" s="223">
        <v>0.11</v>
      </c>
      <c r="L47" s="266">
        <f t="shared" si="16"/>
        <v>-0.64516129032258063</v>
      </c>
      <c r="M47" s="48">
        <v>0.31</v>
      </c>
      <c r="N47" s="4"/>
      <c r="O47" s="4"/>
    </row>
    <row r="48" spans="1:15" s="6" customFormat="1" ht="11.25">
      <c r="A48" s="36" t="s">
        <v>90</v>
      </c>
      <c r="B48" s="227">
        <v>0</v>
      </c>
      <c r="C48" s="306">
        <f t="shared" si="13"/>
        <v>-1</v>
      </c>
      <c r="D48" s="227">
        <v>0.05</v>
      </c>
      <c r="E48" s="227">
        <v>0.11</v>
      </c>
      <c r="F48" s="306">
        <f t="shared" si="14"/>
        <v>-0.89423076923076927</v>
      </c>
      <c r="G48" s="227">
        <v>1.04</v>
      </c>
      <c r="H48" s="306">
        <f t="shared" si="15"/>
        <v>-0.8991270611057226</v>
      </c>
      <c r="I48" s="48">
        <v>10.31</v>
      </c>
      <c r="J48" s="306">
        <f t="shared" si="4"/>
        <v>-0.30525606469002686</v>
      </c>
      <c r="K48" s="223">
        <v>14.84</v>
      </c>
      <c r="L48" s="266">
        <f t="shared" si="16"/>
        <v>16.255813953488371</v>
      </c>
      <c r="M48" s="48">
        <v>0.86</v>
      </c>
      <c r="N48" s="8"/>
      <c r="O48" s="8"/>
    </row>
    <row r="49" spans="1:15" s="6" customFormat="1" ht="11.25">
      <c r="A49" s="36" t="s">
        <v>132</v>
      </c>
      <c r="B49" s="227">
        <v>0</v>
      </c>
      <c r="C49" s="306"/>
      <c r="D49" s="227">
        <v>0</v>
      </c>
      <c r="E49" s="227">
        <v>0</v>
      </c>
      <c r="F49" s="306">
        <f t="shared" si="14"/>
        <v>-1</v>
      </c>
      <c r="G49" s="227">
        <v>0.03</v>
      </c>
      <c r="H49" s="306"/>
      <c r="I49" s="48">
        <v>0</v>
      </c>
      <c r="J49" s="306">
        <f t="shared" si="4"/>
        <v>-1</v>
      </c>
      <c r="K49" s="223">
        <v>19.52</v>
      </c>
      <c r="L49" s="266">
        <f t="shared" si="16"/>
        <v>-0.49897330595482547</v>
      </c>
      <c r="M49" s="48">
        <v>38.96</v>
      </c>
      <c r="N49" s="8"/>
      <c r="O49" s="8"/>
    </row>
    <row r="50" spans="1:15" s="6" customFormat="1" ht="11.25">
      <c r="A50" s="36" t="s">
        <v>91</v>
      </c>
      <c r="B50" s="227">
        <v>0</v>
      </c>
      <c r="C50" s="306"/>
      <c r="D50" s="227">
        <v>0</v>
      </c>
      <c r="E50" s="227">
        <v>0</v>
      </c>
      <c r="F50" s="306"/>
      <c r="G50" s="227">
        <v>0</v>
      </c>
      <c r="H50" s="306"/>
      <c r="I50" s="48">
        <v>0</v>
      </c>
      <c r="J50" s="306"/>
      <c r="K50" s="223">
        <v>0</v>
      </c>
      <c r="L50" s="266">
        <f t="shared" si="16"/>
        <v>-1</v>
      </c>
      <c r="M50" s="48">
        <v>0.02</v>
      </c>
      <c r="N50" s="8"/>
      <c r="O50" s="8"/>
    </row>
    <row r="51" spans="1:15" s="6" customFormat="1" ht="11.25">
      <c r="A51" s="36" t="s">
        <v>92</v>
      </c>
      <c r="B51" s="227">
        <v>9.65</v>
      </c>
      <c r="C51" s="306">
        <f t="shared" ref="C51" si="17">IF((+B51/D51)&lt;0,"n.m.",IF(B51&lt;0,(+B51/D51-1)*-1,(+B51/D51-1)))</f>
        <v>0.35724331926863573</v>
      </c>
      <c r="D51" s="227">
        <v>7.11</v>
      </c>
      <c r="E51" s="227">
        <v>16.21</v>
      </c>
      <c r="F51" s="306">
        <f t="shared" si="14"/>
        <v>0.21605401350337594</v>
      </c>
      <c r="G51" s="227">
        <v>13.33</v>
      </c>
      <c r="H51" s="306">
        <f t="shared" si="15"/>
        <v>0.47130242825607049</v>
      </c>
      <c r="I51" s="48">
        <v>9.06</v>
      </c>
      <c r="J51" s="306">
        <f t="shared" si="4"/>
        <v>0.59507042253521147</v>
      </c>
      <c r="K51" s="223">
        <v>5.68</v>
      </c>
      <c r="L51" s="266">
        <f t="shared" si="16"/>
        <v>-0.2855345911949686</v>
      </c>
      <c r="M51" s="48">
        <v>7.95</v>
      </c>
      <c r="N51" s="8"/>
      <c r="O51" s="8"/>
    </row>
    <row r="52" spans="1:15" s="6" customFormat="1" ht="11.25">
      <c r="A52" s="36" t="s">
        <v>93</v>
      </c>
      <c r="B52" s="227">
        <v>0</v>
      </c>
      <c r="C52" s="306"/>
      <c r="D52" s="227">
        <v>0</v>
      </c>
      <c r="E52" s="227">
        <v>0</v>
      </c>
      <c r="F52" s="306"/>
      <c r="G52" s="227">
        <v>0</v>
      </c>
      <c r="H52" s="306"/>
      <c r="I52" s="48">
        <v>0</v>
      </c>
      <c r="J52" s="306"/>
      <c r="K52" s="223">
        <v>0</v>
      </c>
      <c r="L52" s="266">
        <f t="shared" si="16"/>
        <v>-1</v>
      </c>
      <c r="M52" s="48">
        <v>0.19</v>
      </c>
      <c r="N52" s="8"/>
      <c r="O52" s="8"/>
    </row>
    <row r="53" spans="1:15" s="6" customFormat="1" ht="11.25">
      <c r="A53" s="36" t="s">
        <v>94</v>
      </c>
      <c r="B53" s="227">
        <v>0</v>
      </c>
      <c r="C53" s="306"/>
      <c r="D53" s="227">
        <v>0</v>
      </c>
      <c r="E53" s="227">
        <v>0</v>
      </c>
      <c r="F53" s="306"/>
      <c r="G53" s="227">
        <v>0</v>
      </c>
      <c r="H53" s="306"/>
      <c r="I53" s="48">
        <v>0</v>
      </c>
      <c r="J53" s="306"/>
      <c r="K53" s="223">
        <v>0</v>
      </c>
      <c r="L53" s="266"/>
      <c r="M53" s="48">
        <v>0</v>
      </c>
      <c r="N53" s="8"/>
      <c r="O53" s="8"/>
    </row>
    <row r="54" spans="1:15" s="6" customFormat="1" ht="11.25">
      <c r="A54" s="36" t="s">
        <v>95</v>
      </c>
      <c r="B54" s="227">
        <v>0</v>
      </c>
      <c r="C54" s="306"/>
      <c r="D54" s="227">
        <v>0</v>
      </c>
      <c r="E54" s="227">
        <v>0</v>
      </c>
      <c r="F54" s="306"/>
      <c r="G54" s="227">
        <v>0</v>
      </c>
      <c r="H54" s="306"/>
      <c r="I54" s="48">
        <v>0</v>
      </c>
      <c r="J54" s="306"/>
      <c r="K54" s="223">
        <v>0</v>
      </c>
      <c r="L54" s="266"/>
      <c r="M54" s="48">
        <v>0</v>
      </c>
      <c r="N54" s="8"/>
      <c r="O54" s="8"/>
    </row>
    <row r="55" spans="1:15" s="6" customFormat="1" ht="11.25">
      <c r="A55" s="36" t="s">
        <v>96</v>
      </c>
      <c r="B55" s="227">
        <v>0</v>
      </c>
      <c r="C55" s="306"/>
      <c r="D55" s="227">
        <v>0</v>
      </c>
      <c r="E55" s="227">
        <v>0</v>
      </c>
      <c r="F55" s="306">
        <f t="shared" si="14"/>
        <v>-1</v>
      </c>
      <c r="G55" s="227">
        <v>0.22</v>
      </c>
      <c r="H55" s="306"/>
      <c r="I55" s="48">
        <v>0</v>
      </c>
      <c r="J55" s="306"/>
      <c r="K55" s="223">
        <v>0</v>
      </c>
      <c r="L55" s="266"/>
      <c r="M55" s="48">
        <v>0</v>
      </c>
      <c r="N55" s="8"/>
      <c r="O55" s="8"/>
    </row>
    <row r="56" spans="1:15" s="6" customFormat="1" ht="11.25">
      <c r="A56" s="36" t="s">
        <v>97</v>
      </c>
      <c r="B56" s="227">
        <v>9.07</v>
      </c>
      <c r="C56" s="306">
        <f t="shared" ref="C56:C59" si="18">IF((+B56/D56)&lt;0,"n.m.",IF(B56&lt;0,(+B56/D56-1)*-1,(+B56/D56-1)))</f>
        <v>-0.20017636684303353</v>
      </c>
      <c r="D56" s="227">
        <v>11.34</v>
      </c>
      <c r="E56" s="227">
        <v>22.26</v>
      </c>
      <c r="F56" s="306">
        <f t="shared" si="14"/>
        <v>-0.20071813285457807</v>
      </c>
      <c r="G56" s="227">
        <v>27.85</v>
      </c>
      <c r="H56" s="306">
        <f t="shared" si="15"/>
        <v>-0.12832550860719871</v>
      </c>
      <c r="I56" s="48">
        <v>31.95</v>
      </c>
      <c r="J56" s="306">
        <f t="shared" si="4"/>
        <v>-0.11299278178789574</v>
      </c>
      <c r="K56" s="223">
        <v>36.020000000000003</v>
      </c>
      <c r="L56" s="266">
        <f t="shared" si="16"/>
        <v>0.27234192864712137</v>
      </c>
      <c r="M56" s="48">
        <v>28.31</v>
      </c>
      <c r="N56" s="8"/>
      <c r="O56" s="8"/>
    </row>
    <row r="57" spans="1:15" s="6" customFormat="1" ht="11.25">
      <c r="A57" s="36" t="s">
        <v>98</v>
      </c>
      <c r="B57" s="227">
        <v>122.66</v>
      </c>
      <c r="C57" s="306">
        <f t="shared" si="18"/>
        <v>-0.15231513476157565</v>
      </c>
      <c r="D57" s="227">
        <v>144.69999999999999</v>
      </c>
      <c r="E57" s="227">
        <v>285.26</v>
      </c>
      <c r="F57" s="306">
        <f t="shared" si="14"/>
        <v>-6.6099197904730733E-2</v>
      </c>
      <c r="G57" s="227">
        <v>305.45</v>
      </c>
      <c r="H57" s="306">
        <f t="shared" si="15"/>
        <v>0.11923344692389426</v>
      </c>
      <c r="I57" s="49">
        <v>272.91000000000003</v>
      </c>
      <c r="J57" s="306">
        <f t="shared" si="4"/>
        <v>0.13490248263816706</v>
      </c>
      <c r="K57" s="224">
        <v>240.47</v>
      </c>
      <c r="L57" s="266">
        <f t="shared" si="16"/>
        <v>5.9992947192100798E-2</v>
      </c>
      <c r="M57" s="49">
        <v>226.86</v>
      </c>
      <c r="N57" s="8"/>
      <c r="O57" s="8"/>
    </row>
    <row r="58" spans="1:15" s="6" customFormat="1" ht="11.25">
      <c r="A58" s="36" t="s">
        <v>99</v>
      </c>
      <c r="B58" s="227">
        <v>71.040000000000006</v>
      </c>
      <c r="C58" s="306">
        <f t="shared" si="18"/>
        <v>-0.16394021419324456</v>
      </c>
      <c r="D58" s="227">
        <v>84.97</v>
      </c>
      <c r="E58" s="227">
        <v>180.27</v>
      </c>
      <c r="F58" s="306">
        <f t="shared" si="14"/>
        <v>6.7760469110939914E-2</v>
      </c>
      <c r="G58" s="227">
        <v>168.83</v>
      </c>
      <c r="H58" s="306">
        <f t="shared" si="15"/>
        <v>8.2451753542347905E-2</v>
      </c>
      <c r="I58" s="48">
        <v>155.97</v>
      </c>
      <c r="J58" s="306">
        <f t="shared" si="4"/>
        <v>-2.1947701762086935E-2</v>
      </c>
      <c r="K58" s="223">
        <v>159.47</v>
      </c>
      <c r="L58" s="266">
        <f t="shared" si="16"/>
        <v>-0.23927872918952442</v>
      </c>
      <c r="M58" s="48">
        <v>209.63</v>
      </c>
      <c r="N58" s="8"/>
      <c r="O58" s="8"/>
    </row>
    <row r="59" spans="1:15" s="2" customFormat="1" ht="11.25">
      <c r="A59" s="36" t="s">
        <v>100</v>
      </c>
      <c r="B59" s="227">
        <v>0</v>
      </c>
      <c r="C59" s="306">
        <f t="shared" si="18"/>
        <v>-1</v>
      </c>
      <c r="D59" s="227">
        <v>0.16</v>
      </c>
      <c r="E59" s="227">
        <v>0.21000000000000002</v>
      </c>
      <c r="F59" s="306"/>
      <c r="G59" s="227">
        <v>0</v>
      </c>
      <c r="H59" s="306"/>
      <c r="I59" s="48">
        <v>0</v>
      </c>
      <c r="J59" s="306">
        <f t="shared" si="4"/>
        <v>-1</v>
      </c>
      <c r="K59" s="223">
        <v>0.73</v>
      </c>
      <c r="L59" s="266">
        <f t="shared" si="16"/>
        <v>0.97297297297297303</v>
      </c>
      <c r="M59" s="48">
        <v>0.37</v>
      </c>
      <c r="N59" s="4"/>
      <c r="O59" s="4"/>
    </row>
    <row r="60" spans="1:15" s="6" customFormat="1" ht="11.25">
      <c r="A60" s="36" t="s">
        <v>101</v>
      </c>
      <c r="B60" s="227">
        <v>33.64</v>
      </c>
      <c r="C60" s="306">
        <f t="shared" ref="C60:C71" si="19">IF((+B60/D60)&lt;0,"n.m.",IF(B60&lt;0,(+B60/D60-1)*-1,(+B60/D60-1)))</f>
        <v>-0.3058192323565827</v>
      </c>
      <c r="D60" s="227">
        <v>48.46</v>
      </c>
      <c r="E60" s="227">
        <v>96.31</v>
      </c>
      <c r="F60" s="306">
        <f t="shared" si="14"/>
        <v>0.10535980718466664</v>
      </c>
      <c r="G60" s="227">
        <v>87.13</v>
      </c>
      <c r="H60" s="306">
        <f t="shared" si="15"/>
        <v>-0.4262856390333839</v>
      </c>
      <c r="I60" s="48">
        <v>151.87</v>
      </c>
      <c r="J60" s="306">
        <f t="shared" si="4"/>
        <v>-0.32330793565922555</v>
      </c>
      <c r="K60" s="223">
        <v>224.43</v>
      </c>
      <c r="L60" s="266">
        <f t="shared" si="16"/>
        <v>5.2624173350218184E-2</v>
      </c>
      <c r="M60" s="48">
        <v>213.21</v>
      </c>
      <c r="N60" s="8"/>
      <c r="O60" s="8"/>
    </row>
    <row r="61" spans="1:15" s="6" customFormat="1" ht="11.25">
      <c r="A61" s="36" t="s">
        <v>102</v>
      </c>
      <c r="B61" s="227">
        <v>3.31</v>
      </c>
      <c r="C61" s="306">
        <f t="shared" si="19"/>
        <v>-0.89367169932540957</v>
      </c>
      <c r="D61" s="227">
        <v>31.13</v>
      </c>
      <c r="E61" s="227">
        <v>48.16</v>
      </c>
      <c r="F61" s="306">
        <f t="shared" si="14"/>
        <v>-0.18011576438542731</v>
      </c>
      <c r="G61" s="227">
        <v>58.739999999999995</v>
      </c>
      <c r="H61" s="306">
        <f t="shared" si="15"/>
        <v>-0.12184182986993575</v>
      </c>
      <c r="I61" s="48">
        <v>66.89</v>
      </c>
      <c r="J61" s="306">
        <f t="shared" si="4"/>
        <v>1.3429071803852888</v>
      </c>
      <c r="K61" s="223">
        <v>28.55</v>
      </c>
      <c r="L61" s="266">
        <f t="shared" si="16"/>
        <v>-0.41495901639344257</v>
      </c>
      <c r="M61" s="48">
        <v>48.8</v>
      </c>
      <c r="N61" s="8"/>
      <c r="O61" s="8"/>
    </row>
    <row r="62" spans="1:15" s="6" customFormat="1" ht="11.25">
      <c r="A62" s="36" t="s">
        <v>103</v>
      </c>
      <c r="B62" s="227">
        <v>0</v>
      </c>
      <c r="C62" s="306">
        <f t="shared" si="19"/>
        <v>-1</v>
      </c>
      <c r="D62" s="227">
        <v>2.46</v>
      </c>
      <c r="E62" s="227">
        <v>4.58</v>
      </c>
      <c r="F62" s="306">
        <f t="shared" si="14"/>
        <v>-0.38688085676037476</v>
      </c>
      <c r="G62" s="227">
        <v>7.47</v>
      </c>
      <c r="H62" s="306">
        <f t="shared" si="15"/>
        <v>-0.27686350435624396</v>
      </c>
      <c r="I62" s="48">
        <v>10.33</v>
      </c>
      <c r="J62" s="306">
        <f t="shared" si="4"/>
        <v>-0.42387060791968767</v>
      </c>
      <c r="K62" s="223">
        <v>17.93</v>
      </c>
      <c r="L62" s="266">
        <f t="shared" si="16"/>
        <v>3.5817446562680599E-2</v>
      </c>
      <c r="M62" s="48">
        <v>17.309999999999999</v>
      </c>
      <c r="N62" s="8"/>
      <c r="O62" s="8"/>
    </row>
    <row r="63" spans="1:15" s="6" customFormat="1" ht="11.25">
      <c r="A63" s="36" t="s">
        <v>104</v>
      </c>
      <c r="B63" s="227">
        <v>1.47</v>
      </c>
      <c r="C63" s="306">
        <f t="shared" si="19"/>
        <v>-0.90047393364928907</v>
      </c>
      <c r="D63" s="227">
        <v>14.77</v>
      </c>
      <c r="E63" s="227">
        <v>20.29</v>
      </c>
      <c r="F63" s="306">
        <f t="shared" ref="F63:F71" si="20">IF((+E63/G63)&lt;0,"n.m.",IF(E63&lt;0,(+E63/G63-1)*-1,(+E63/G63-1)))</f>
        <v>1.2772166105499436</v>
      </c>
      <c r="G63" s="227">
        <v>8.91</v>
      </c>
      <c r="H63" s="306">
        <f t="shared" si="15"/>
        <v>2.0618556701030855E-2</v>
      </c>
      <c r="I63" s="48">
        <v>8.73</v>
      </c>
      <c r="J63" s="306">
        <f t="shared" si="4"/>
        <v>0.12645161290322582</v>
      </c>
      <c r="K63" s="223">
        <v>7.75</v>
      </c>
      <c r="L63" s="266">
        <f t="shared" si="16"/>
        <v>-0.72478693181818188</v>
      </c>
      <c r="M63" s="48">
        <v>28.16</v>
      </c>
      <c r="N63" s="8"/>
      <c r="O63" s="8"/>
    </row>
    <row r="64" spans="1:15" s="6" customFormat="1" ht="11.25">
      <c r="A64" s="36" t="s">
        <v>105</v>
      </c>
      <c r="B64" s="227">
        <v>0.78</v>
      </c>
      <c r="C64" s="306">
        <f t="shared" si="19"/>
        <v>-0.72438162544169615</v>
      </c>
      <c r="D64" s="227">
        <v>2.83</v>
      </c>
      <c r="E64" s="227">
        <v>3.49</v>
      </c>
      <c r="F64" s="306">
        <f t="shared" si="20"/>
        <v>-0.53342245989304815</v>
      </c>
      <c r="G64" s="227">
        <v>7.48</v>
      </c>
      <c r="H64" s="306">
        <f t="shared" si="15"/>
        <v>1.1432664756446993</v>
      </c>
      <c r="I64" s="50">
        <v>3.49</v>
      </c>
      <c r="J64" s="306">
        <f t="shared" si="4"/>
        <v>-0.86372510737992969</v>
      </c>
      <c r="K64" s="225">
        <v>25.61</v>
      </c>
      <c r="L64" s="266">
        <f t="shared" si="16"/>
        <v>1.4297912713472489</v>
      </c>
      <c r="M64" s="50">
        <v>10.54</v>
      </c>
      <c r="N64" s="8"/>
      <c r="O64" s="8"/>
    </row>
    <row r="65" spans="1:15" s="6" customFormat="1" ht="11.25">
      <c r="A65" s="36" t="s">
        <v>106</v>
      </c>
      <c r="B65" s="227">
        <v>0.01</v>
      </c>
      <c r="C65" s="306">
        <f t="shared" si="19"/>
        <v>-0.5</v>
      </c>
      <c r="D65" s="227">
        <v>0.02</v>
      </c>
      <c r="E65" s="227">
        <v>0.19</v>
      </c>
      <c r="F65" s="306">
        <f t="shared" si="20"/>
        <v>0.11764705882352944</v>
      </c>
      <c r="G65" s="227">
        <v>0.16999999999999998</v>
      </c>
      <c r="H65" s="306">
        <f t="shared" si="15"/>
        <v>0.30769230769230749</v>
      </c>
      <c r="I65" s="50">
        <v>0.13</v>
      </c>
      <c r="J65" s="306">
        <f t="shared" si="4"/>
        <v>-0.91503267973856206</v>
      </c>
      <c r="K65" s="225">
        <v>1.53</v>
      </c>
      <c r="L65" s="266">
        <f t="shared" si="16"/>
        <v>9.928571428571427</v>
      </c>
      <c r="M65" s="50">
        <v>0.14000000000000001</v>
      </c>
      <c r="N65" s="8"/>
      <c r="O65" s="8"/>
    </row>
    <row r="66" spans="1:15" s="6" customFormat="1" ht="11.25">
      <c r="A66" s="40" t="s">
        <v>86</v>
      </c>
      <c r="B66" s="178">
        <f>B44</f>
        <v>2815.5299999999997</v>
      </c>
      <c r="C66" s="306">
        <f t="shared" si="19"/>
        <v>2.9923801177713649E-3</v>
      </c>
      <c r="D66" s="178">
        <f>D44</f>
        <v>2807.13</v>
      </c>
      <c r="E66" s="178">
        <f>E44</f>
        <v>6401.95</v>
      </c>
      <c r="F66" s="306">
        <f t="shared" si="20"/>
        <v>2.9149827509155068E-2</v>
      </c>
      <c r="G66" s="178">
        <f>G44</f>
        <v>6220.62</v>
      </c>
      <c r="H66" s="306">
        <f t="shared" si="15"/>
        <v>0.17043570865452828</v>
      </c>
      <c r="I66" s="51">
        <f>I44</f>
        <v>5314.79</v>
      </c>
      <c r="J66" s="306">
        <f t="shared" si="4"/>
        <v>0.14193416698895622</v>
      </c>
      <c r="K66" s="178">
        <f>K44</f>
        <v>4654.2</v>
      </c>
      <c r="L66" s="266">
        <f t="shared" si="16"/>
        <v>-2.3685761749102641E-3</v>
      </c>
      <c r="M66" s="51">
        <f>M44</f>
        <v>4665.25</v>
      </c>
      <c r="N66" s="8"/>
      <c r="O66" s="8"/>
    </row>
    <row r="67" spans="1:15" s="6" customFormat="1" ht="11.25">
      <c r="A67" s="40" t="s">
        <v>87</v>
      </c>
      <c r="B67" s="178">
        <f>B45</f>
        <v>7.7</v>
      </c>
      <c r="C67" s="306">
        <f t="shared" si="19"/>
        <v>-0.52991452991452981</v>
      </c>
      <c r="D67" s="178">
        <f>D45</f>
        <v>16.38</v>
      </c>
      <c r="E67" s="178">
        <f>E45</f>
        <v>28.03</v>
      </c>
      <c r="F67" s="306">
        <f t="shared" si="20"/>
        <v>0.13298302344381563</v>
      </c>
      <c r="G67" s="178">
        <f>G45</f>
        <v>24.740000000000002</v>
      </c>
      <c r="H67" s="306">
        <f t="shared" si="15"/>
        <v>0.24321608040201026</v>
      </c>
      <c r="I67" s="51">
        <f>I45</f>
        <v>19.899999999999999</v>
      </c>
      <c r="J67" s="306">
        <f t="shared" si="4"/>
        <v>-0.2710622710622711</v>
      </c>
      <c r="K67" s="178">
        <f>K45</f>
        <v>27.3</v>
      </c>
      <c r="L67" s="266">
        <f t="shared" si="16"/>
        <v>0.40432098765432101</v>
      </c>
      <c r="M67" s="51">
        <f>M45</f>
        <v>19.440000000000001</v>
      </c>
      <c r="N67" s="8"/>
      <c r="O67" s="8"/>
    </row>
    <row r="68" spans="1:15" s="2" customFormat="1" ht="11.25">
      <c r="A68" s="40" t="s">
        <v>107</v>
      </c>
      <c r="B68" s="177">
        <f>B46+B47+B48+B49+B50+B51+B52+B53+B54+B55</f>
        <v>465.33</v>
      </c>
      <c r="C68" s="306">
        <f t="shared" si="19"/>
        <v>0.20066570337496104</v>
      </c>
      <c r="D68" s="177">
        <f>D46+D47+D48+D49+D50+D51+D52+D53+D54+D55</f>
        <v>387.56000000000006</v>
      </c>
      <c r="E68" s="177">
        <f>E46+E47+E48+E49+E50+E51+E52+E53+E54+E55</f>
        <v>1015.9300000000001</v>
      </c>
      <c r="F68" s="306">
        <f t="shared" si="20"/>
        <v>0.11629619048665529</v>
      </c>
      <c r="G68" s="177">
        <f>G46+G47+G48+G49+G50+G51+G52+G53+G54+G55</f>
        <v>910.09</v>
      </c>
      <c r="H68" s="306">
        <f t="shared" si="15"/>
        <v>0.12858382936507962</v>
      </c>
      <c r="I68" s="49">
        <f>I46+I47+I48+I49+I50+I51+I52+I53+I54+I55</f>
        <v>806.39999999999986</v>
      </c>
      <c r="J68" s="306">
        <f t="shared" ref="J68:J101" si="21">IF((+I68/K68)&lt;0,"n.m.",IF(I68&lt;0,(+I68/K68-1)*-1,(+I68/K68-1)))</f>
        <v>7.3882703883236367E-2</v>
      </c>
      <c r="K68" s="177">
        <f>K46+K47+K48+K49+K50+K51+K52+K53+K54+K55</f>
        <v>750.92</v>
      </c>
      <c r="L68" s="266">
        <f t="shared" si="16"/>
        <v>-0.16599657922210642</v>
      </c>
      <c r="M68" s="49">
        <f>M46+M47+M48+M49+M50+M51+M52+M53+M54+M55</f>
        <v>900.38000000000011</v>
      </c>
      <c r="N68" s="4"/>
      <c r="O68" s="4"/>
    </row>
    <row r="69" spans="1:15" s="2" customFormat="1" ht="11.25">
      <c r="A69" s="40" t="s">
        <v>108</v>
      </c>
      <c r="B69" s="177">
        <f>B56+B57+B58+B59+B60+B61</f>
        <v>239.71999999999997</v>
      </c>
      <c r="C69" s="306">
        <f t="shared" si="19"/>
        <v>-0.25264995635366017</v>
      </c>
      <c r="D69" s="177">
        <f>D56+D57+D58+D59+D60+D61</f>
        <v>320.76</v>
      </c>
      <c r="E69" s="177">
        <f>E56+E57+E58+E59+E60+E61</f>
        <v>632.46999999999991</v>
      </c>
      <c r="F69" s="306">
        <f t="shared" si="20"/>
        <v>-2.3966049382716181E-2</v>
      </c>
      <c r="G69" s="177">
        <f>G56+G57+G58+G59+G60+G61</f>
        <v>648</v>
      </c>
      <c r="H69" s="306">
        <f t="shared" si="15"/>
        <v>-4.6483909415971469E-2</v>
      </c>
      <c r="I69" s="49">
        <f>I56+I57+I58+I59+I60+I61</f>
        <v>679.59</v>
      </c>
      <c r="J69" s="306">
        <f t="shared" si="21"/>
        <v>-1.4615685762756181E-2</v>
      </c>
      <c r="K69" s="177">
        <f>K56+K57+K58+K59+K60+K61</f>
        <v>689.67000000000007</v>
      </c>
      <c r="L69" s="266">
        <f t="shared" si="16"/>
        <v>-5.1582826810418148E-2</v>
      </c>
      <c r="M69" s="49">
        <f>M56+M57+M58+M59+M60+M61</f>
        <v>727.18</v>
      </c>
      <c r="N69" s="4"/>
      <c r="O69" s="4"/>
    </row>
    <row r="70" spans="1:15" s="6" customFormat="1" ht="11.25">
      <c r="A70" s="40" t="s">
        <v>109</v>
      </c>
      <c r="B70" s="177">
        <f>B62+B63+B64+B65</f>
        <v>2.2599999999999998</v>
      </c>
      <c r="C70" s="306">
        <f t="shared" si="19"/>
        <v>-0.88745019920318724</v>
      </c>
      <c r="D70" s="177">
        <f>D62+D63+D64+D65</f>
        <v>20.080000000000002</v>
      </c>
      <c r="E70" s="177">
        <f>E62+E63+E64+E65</f>
        <v>28.55</v>
      </c>
      <c r="F70" s="306">
        <f t="shared" si="20"/>
        <v>0.18809821057012055</v>
      </c>
      <c r="G70" s="177">
        <f>G62+G63+G64+G65</f>
        <v>24.03</v>
      </c>
      <c r="H70" s="306">
        <f t="shared" si="15"/>
        <v>5.9523809523809312E-2</v>
      </c>
      <c r="I70" s="49">
        <f>I62+I63+I64+I65</f>
        <v>22.680000000000003</v>
      </c>
      <c r="J70" s="306">
        <f t="shared" si="21"/>
        <v>-0.57061719045815973</v>
      </c>
      <c r="K70" s="177">
        <f>K62+K63+K64+K65</f>
        <v>52.82</v>
      </c>
      <c r="L70" s="266">
        <f t="shared" si="16"/>
        <v>-5.9305431878895809E-2</v>
      </c>
      <c r="M70" s="49">
        <f>M62+M63+M64+M65</f>
        <v>56.15</v>
      </c>
      <c r="N70" s="8"/>
      <c r="O70" s="8"/>
    </row>
    <row r="71" spans="1:15" s="29" customFormat="1" ht="10.35" customHeight="1">
      <c r="A71" s="34" t="s">
        <v>113</v>
      </c>
      <c r="B71" s="226">
        <f>SUM(B66:B70)</f>
        <v>3530.5399999999995</v>
      </c>
      <c r="C71" s="305">
        <f t="shared" si="19"/>
        <v>-6.016481273455776E-3</v>
      </c>
      <c r="D71" s="226">
        <f>SUM(D66:D70)</f>
        <v>3551.91</v>
      </c>
      <c r="E71" s="226">
        <f>SUM(E66:E70)</f>
        <v>8106.93</v>
      </c>
      <c r="F71" s="305">
        <f t="shared" si="20"/>
        <v>3.5701145196155082E-2</v>
      </c>
      <c r="G71" s="226">
        <f>SUM(G66:G70)</f>
        <v>7827.48</v>
      </c>
      <c r="H71" s="305">
        <f t="shared" si="15"/>
        <v>0.14380655116784746</v>
      </c>
      <c r="I71" s="52">
        <f>SUM(I66:I70)</f>
        <v>6843.36</v>
      </c>
      <c r="J71" s="305">
        <f t="shared" si="21"/>
        <v>0.10825258991629028</v>
      </c>
      <c r="K71" s="226">
        <f>SUM(K66:K70)</f>
        <v>6174.91</v>
      </c>
      <c r="L71" s="277">
        <f t="shared" ref="L71" si="22">IF((+K71/M71)&lt;0,"n.m.",IF(K71&lt;0,(+K71/M71-1)*-1,(+K71/M71-1)))</f>
        <v>-3.0382827711827098E-2</v>
      </c>
      <c r="M71" s="52">
        <f>SUM(M66:M70)</f>
        <v>6368.4</v>
      </c>
    </row>
    <row r="72" spans="1:15" ht="10.35" customHeight="1">
      <c r="A72" s="36"/>
      <c r="B72" s="454"/>
      <c r="C72" s="450"/>
      <c r="D72" s="454"/>
      <c r="E72" s="40"/>
      <c r="F72" s="306"/>
      <c r="G72" s="40"/>
      <c r="H72" s="306"/>
      <c r="I72" s="40"/>
      <c r="J72" s="306"/>
      <c r="K72" s="40"/>
      <c r="L72" s="40"/>
      <c r="M72" s="40"/>
    </row>
    <row r="73" spans="1:15" ht="10.35" customHeight="1">
      <c r="A73" s="53" t="s">
        <v>2</v>
      </c>
      <c r="B73" s="455"/>
      <c r="C73" s="450"/>
      <c r="D73" s="455"/>
      <c r="E73" s="54"/>
      <c r="F73" s="306"/>
      <c r="G73" s="54"/>
      <c r="H73" s="306"/>
      <c r="I73" s="54"/>
      <c r="J73" s="306"/>
      <c r="K73" s="54"/>
      <c r="L73" s="54"/>
      <c r="M73" s="54"/>
    </row>
    <row r="74" spans="1:15" s="2" customFormat="1" ht="11.25">
      <c r="A74" s="36" t="s">
        <v>86</v>
      </c>
      <c r="B74" s="227">
        <v>7222.36</v>
      </c>
      <c r="C74" s="306">
        <f t="shared" ref="C74:C76" si="23">IF((+B74/D74)&lt;0,"n.m.",IF(B74&lt;0,(+B74/D74-1)*-1,(+B74/D74-1)))</f>
        <v>7.9619057869301235E-2</v>
      </c>
      <c r="D74" s="227">
        <v>6689.73</v>
      </c>
      <c r="E74" s="227">
        <v>6603.7</v>
      </c>
      <c r="F74" s="306">
        <f t="shared" ref="F74:F94" si="24">IF((+E74/G74)&lt;0,"n.m.",IF(E74&lt;0,(+E74/G74-1)*-1,(+E74/G74-1)))</f>
        <v>9.8752450009816695E-2</v>
      </c>
      <c r="G74" s="227">
        <v>6010.18</v>
      </c>
      <c r="H74" s="306">
        <f t="shared" si="15"/>
        <v>4.7135360405879068E-2</v>
      </c>
      <c r="I74" s="48">
        <v>5739.64</v>
      </c>
      <c r="J74" s="306">
        <f t="shared" si="21"/>
        <v>0.10907917466967088</v>
      </c>
      <c r="K74" s="227">
        <v>5175.1400000000003</v>
      </c>
      <c r="L74" s="266">
        <f>IF((+K74/M74)&lt;0,"n.m.",IF(K74&lt;0,(+K74/M74-1)*-1,(+K74/M74-1)))</f>
        <v>0.42683367291515606</v>
      </c>
      <c r="M74" s="48">
        <v>3627.01</v>
      </c>
      <c r="N74" s="4"/>
      <c r="O74" s="4"/>
    </row>
    <row r="75" spans="1:15" s="2" customFormat="1" ht="11.25">
      <c r="A75" s="36" t="s">
        <v>87</v>
      </c>
      <c r="B75" s="227">
        <v>9.48</v>
      </c>
      <c r="C75" s="306">
        <f t="shared" si="23"/>
        <v>5.9217877094972282E-2</v>
      </c>
      <c r="D75" s="227">
        <v>8.9499999999999993</v>
      </c>
      <c r="E75" s="227">
        <v>5.46</v>
      </c>
      <c r="F75" s="306">
        <f t="shared" si="24"/>
        <v>-0.72479838709677424</v>
      </c>
      <c r="G75" s="227">
        <v>19.84</v>
      </c>
      <c r="H75" s="306">
        <f t="shared" si="15"/>
        <v>0.29082628497072216</v>
      </c>
      <c r="I75" s="48">
        <v>15.37</v>
      </c>
      <c r="J75" s="306">
        <f t="shared" si="21"/>
        <v>-0.49240422721268173</v>
      </c>
      <c r="K75" s="227">
        <v>30.28</v>
      </c>
      <c r="L75" s="266">
        <f t="shared" ref="L75:L101" si="25">IF((+K75/M75)&lt;0,"n.m.",IF(K75&lt;0,(+K75/M75-1)*-1,(+K75/M75-1)))</f>
        <v>0.42628356099858689</v>
      </c>
      <c r="M75" s="48">
        <v>21.23</v>
      </c>
      <c r="N75" s="4"/>
      <c r="O75" s="4"/>
    </row>
    <row r="76" spans="1:15" s="2" customFormat="1" ht="11.25">
      <c r="A76" s="36" t="s">
        <v>88</v>
      </c>
      <c r="B76" s="227">
        <v>1416.46</v>
      </c>
      <c r="C76" s="306">
        <f t="shared" si="23"/>
        <v>-8.9011229306818485E-2</v>
      </c>
      <c r="D76" s="227">
        <v>1554.86</v>
      </c>
      <c r="E76" s="227">
        <v>1455.15</v>
      </c>
      <c r="F76" s="306">
        <f t="shared" si="24"/>
        <v>-9.8704870208298434E-2</v>
      </c>
      <c r="G76" s="227">
        <v>1614.51</v>
      </c>
      <c r="H76" s="306">
        <f t="shared" si="15"/>
        <v>0.1589249951547258</v>
      </c>
      <c r="I76" s="48">
        <v>1393.11</v>
      </c>
      <c r="J76" s="306">
        <f t="shared" si="21"/>
        <v>0.63280590717299567</v>
      </c>
      <c r="K76" s="227">
        <v>853.2</v>
      </c>
      <c r="L76" s="266">
        <f t="shared" si="25"/>
        <v>6.4929229386654796E-2</v>
      </c>
      <c r="M76" s="48">
        <v>801.18</v>
      </c>
      <c r="N76" s="4"/>
      <c r="O76" s="4"/>
    </row>
    <row r="77" spans="1:15" s="2" customFormat="1" ht="11.25">
      <c r="A77" s="36" t="s">
        <v>89</v>
      </c>
      <c r="B77" s="227">
        <v>0</v>
      </c>
      <c r="C77" s="306"/>
      <c r="D77" s="227">
        <v>0</v>
      </c>
      <c r="E77" s="227">
        <v>0</v>
      </c>
      <c r="F77" s="306"/>
      <c r="G77" s="227">
        <v>0</v>
      </c>
      <c r="H77" s="306"/>
      <c r="I77" s="48">
        <v>0</v>
      </c>
      <c r="J77" s="306"/>
      <c r="K77" s="227">
        <v>0</v>
      </c>
      <c r="L77" s="266">
        <f t="shared" si="25"/>
        <v>-1</v>
      </c>
      <c r="M77" s="48">
        <v>0.1</v>
      </c>
      <c r="N77" s="4"/>
      <c r="O77" s="4"/>
    </row>
    <row r="78" spans="1:15" s="6" customFormat="1" ht="11.25">
      <c r="A78" s="36" t="s">
        <v>90</v>
      </c>
      <c r="B78" s="227">
        <v>0</v>
      </c>
      <c r="C78" s="306"/>
      <c r="D78" s="227">
        <v>0</v>
      </c>
      <c r="E78" s="227">
        <v>0</v>
      </c>
      <c r="F78" s="306">
        <f t="shared" si="24"/>
        <v>-1</v>
      </c>
      <c r="G78" s="227">
        <v>0.03</v>
      </c>
      <c r="H78" s="306">
        <f t="shared" si="15"/>
        <v>0</v>
      </c>
      <c r="I78" s="48">
        <v>0.03</v>
      </c>
      <c r="J78" s="306">
        <f t="shared" si="21"/>
        <v>-0.99691991786447642</v>
      </c>
      <c r="K78" s="227">
        <v>9.74</v>
      </c>
      <c r="L78" s="266"/>
      <c r="M78" s="48">
        <v>0</v>
      </c>
      <c r="N78" s="8"/>
      <c r="O78" s="8"/>
    </row>
    <row r="79" spans="1:15" s="6" customFormat="1" ht="11.25">
      <c r="A79" s="36" t="s">
        <v>132</v>
      </c>
      <c r="B79" s="227">
        <v>0</v>
      </c>
      <c r="C79" s="306"/>
      <c r="D79" s="227">
        <v>0</v>
      </c>
      <c r="E79" s="227">
        <v>0</v>
      </c>
      <c r="F79" s="306"/>
      <c r="G79" s="227">
        <v>0</v>
      </c>
      <c r="H79" s="306">
        <f t="shared" si="15"/>
        <v>-1</v>
      </c>
      <c r="I79" s="48">
        <v>0.03</v>
      </c>
      <c r="J79" s="306">
        <f t="shared" si="21"/>
        <v>-0.99829642248722317</v>
      </c>
      <c r="K79" s="227">
        <v>17.61</v>
      </c>
      <c r="L79" s="266">
        <f t="shared" si="25"/>
        <v>1.5821114369501466</v>
      </c>
      <c r="M79" s="48">
        <v>6.82</v>
      </c>
      <c r="N79" s="8"/>
      <c r="O79" s="8"/>
    </row>
    <row r="80" spans="1:15" s="6" customFormat="1" ht="11.25">
      <c r="A80" s="36" t="s">
        <v>91</v>
      </c>
      <c r="B80" s="227">
        <v>0</v>
      </c>
      <c r="C80" s="306"/>
      <c r="D80" s="227">
        <v>0</v>
      </c>
      <c r="E80" s="227">
        <v>0</v>
      </c>
      <c r="F80" s="306"/>
      <c r="G80" s="227">
        <v>0</v>
      </c>
      <c r="H80" s="306"/>
      <c r="I80" s="48">
        <v>0</v>
      </c>
      <c r="J80" s="306"/>
      <c r="K80" s="227">
        <v>0</v>
      </c>
      <c r="L80" s="266"/>
      <c r="M80" s="48">
        <v>0</v>
      </c>
      <c r="N80" s="8"/>
      <c r="O80" s="8"/>
    </row>
    <row r="81" spans="1:15" s="6" customFormat="1" ht="11.25">
      <c r="A81" s="36" t="s">
        <v>92</v>
      </c>
      <c r="B81" s="227">
        <v>11.03</v>
      </c>
      <c r="C81" s="306">
        <f t="shared" ref="C81" si="26">IF((+B81/D81)&lt;0,"n.m.",IF(B81&lt;0,(+B81/D81-1)*-1,(+B81/D81-1)))</f>
        <v>4.7483380816714105E-2</v>
      </c>
      <c r="D81" s="227">
        <v>10.53</v>
      </c>
      <c r="E81" s="227">
        <v>13.62</v>
      </c>
      <c r="F81" s="306">
        <f t="shared" si="24"/>
        <v>2.7520661157024793</v>
      </c>
      <c r="G81" s="227">
        <v>3.63</v>
      </c>
      <c r="H81" s="306">
        <f t="shared" si="15"/>
        <v>0.39080459770114939</v>
      </c>
      <c r="I81" s="48">
        <v>2.61</v>
      </c>
      <c r="J81" s="306">
        <f t="shared" si="21"/>
        <v>-0.50095602294455066</v>
      </c>
      <c r="K81" s="227">
        <v>5.23</v>
      </c>
      <c r="L81" s="266">
        <f t="shared" si="25"/>
        <v>0.70358306188925113</v>
      </c>
      <c r="M81" s="48">
        <v>3.07</v>
      </c>
      <c r="N81" s="8"/>
      <c r="O81" s="8"/>
    </row>
    <row r="82" spans="1:15" s="6" customFormat="1" ht="11.25">
      <c r="A82" s="36" t="s">
        <v>93</v>
      </c>
      <c r="B82" s="227">
        <v>0</v>
      </c>
      <c r="C82" s="306"/>
      <c r="D82" s="227">
        <v>0</v>
      </c>
      <c r="E82" s="227">
        <v>0</v>
      </c>
      <c r="F82" s="306"/>
      <c r="G82" s="227">
        <v>0</v>
      </c>
      <c r="H82" s="306"/>
      <c r="I82" s="48">
        <v>0</v>
      </c>
      <c r="J82" s="306"/>
      <c r="K82" s="227">
        <v>0</v>
      </c>
      <c r="L82" s="266"/>
      <c r="M82" s="48">
        <v>0</v>
      </c>
      <c r="N82" s="8"/>
      <c r="O82" s="8"/>
    </row>
    <row r="83" spans="1:15" s="6" customFormat="1" ht="11.25">
      <c r="A83" s="36" t="s">
        <v>94</v>
      </c>
      <c r="B83" s="227">
        <v>0</v>
      </c>
      <c r="C83" s="306"/>
      <c r="D83" s="227">
        <v>0</v>
      </c>
      <c r="E83" s="227">
        <v>0</v>
      </c>
      <c r="F83" s="306"/>
      <c r="G83" s="227">
        <v>0</v>
      </c>
      <c r="H83" s="306"/>
      <c r="I83" s="48">
        <v>0</v>
      </c>
      <c r="J83" s="306"/>
      <c r="K83" s="227">
        <v>0</v>
      </c>
      <c r="L83" s="266"/>
      <c r="M83" s="48">
        <v>0</v>
      </c>
      <c r="N83" s="8"/>
      <c r="O83" s="8"/>
    </row>
    <row r="84" spans="1:15" s="6" customFormat="1" ht="11.25">
      <c r="A84" s="36" t="s">
        <v>95</v>
      </c>
      <c r="B84" s="227">
        <v>0</v>
      </c>
      <c r="C84" s="306"/>
      <c r="D84" s="227">
        <v>0</v>
      </c>
      <c r="E84" s="227">
        <v>0</v>
      </c>
      <c r="F84" s="306"/>
      <c r="G84" s="227">
        <v>0</v>
      </c>
      <c r="H84" s="306"/>
      <c r="I84" s="48">
        <v>0</v>
      </c>
      <c r="J84" s="306"/>
      <c r="K84" s="227">
        <v>0</v>
      </c>
      <c r="L84" s="266"/>
      <c r="M84" s="48">
        <v>0</v>
      </c>
      <c r="N84" s="8"/>
      <c r="O84" s="8"/>
    </row>
    <row r="85" spans="1:15" s="6" customFormat="1" ht="11.25">
      <c r="A85" s="36" t="s">
        <v>96</v>
      </c>
      <c r="B85" s="227">
        <v>0</v>
      </c>
      <c r="C85" s="306"/>
      <c r="D85" s="227">
        <v>0</v>
      </c>
      <c r="E85" s="227">
        <v>0</v>
      </c>
      <c r="F85" s="306"/>
      <c r="G85" s="227">
        <v>0</v>
      </c>
      <c r="H85" s="306"/>
      <c r="I85" s="48">
        <v>0</v>
      </c>
      <c r="J85" s="306"/>
      <c r="K85" s="227">
        <v>0</v>
      </c>
      <c r="L85" s="266"/>
      <c r="M85" s="48">
        <v>0</v>
      </c>
      <c r="N85" s="8"/>
      <c r="O85" s="8"/>
    </row>
    <row r="86" spans="1:15" s="6" customFormat="1" ht="11.25">
      <c r="A86" s="36" t="s">
        <v>97</v>
      </c>
      <c r="B86" s="227">
        <v>11.07</v>
      </c>
      <c r="C86" s="306">
        <f t="shared" ref="C86:C94" si="27">IF((+B86/D86)&lt;0,"n.m.",IF(B86&lt;0,(+B86/D86-1)*-1,(+B86/D86-1)))</f>
        <v>-3.2342657342657288E-2</v>
      </c>
      <c r="D86" s="227">
        <v>11.44</v>
      </c>
      <c r="E86" s="227">
        <v>7.97</v>
      </c>
      <c r="F86" s="306">
        <f t="shared" si="24"/>
        <v>-4.3217286914765896E-2</v>
      </c>
      <c r="G86" s="227">
        <v>8.33</v>
      </c>
      <c r="H86" s="306">
        <f t="shared" si="15"/>
        <v>0.10771276595744683</v>
      </c>
      <c r="I86" s="48">
        <v>7.52</v>
      </c>
      <c r="J86" s="306">
        <f t="shared" si="21"/>
        <v>-0.45625451916124371</v>
      </c>
      <c r="K86" s="227">
        <v>13.83</v>
      </c>
      <c r="L86" s="266">
        <f t="shared" si="25"/>
        <v>-6.4276048714479006E-2</v>
      </c>
      <c r="M86" s="48">
        <v>14.78</v>
      </c>
      <c r="N86" s="8"/>
      <c r="O86" s="8"/>
    </row>
    <row r="87" spans="1:15" s="6" customFormat="1" ht="11.25">
      <c r="A87" s="36" t="s">
        <v>98</v>
      </c>
      <c r="B87" s="177">
        <v>417.98</v>
      </c>
      <c r="C87" s="306">
        <f t="shared" si="27"/>
        <v>-0.12332732077687814</v>
      </c>
      <c r="D87" s="177">
        <v>476.78</v>
      </c>
      <c r="E87" s="177">
        <v>422.26</v>
      </c>
      <c r="F87" s="306">
        <f t="shared" si="24"/>
        <v>-0.24236552194351746</v>
      </c>
      <c r="G87" s="177">
        <v>557.34</v>
      </c>
      <c r="H87" s="306">
        <f t="shared" si="15"/>
        <v>7.5383697597484201E-3</v>
      </c>
      <c r="I87" s="49">
        <v>553.16999999999996</v>
      </c>
      <c r="J87" s="306">
        <f t="shared" si="21"/>
        <v>0.42367777634796022</v>
      </c>
      <c r="K87" s="228">
        <v>388.55</v>
      </c>
      <c r="L87" s="266">
        <f t="shared" si="25"/>
        <v>0.230328361989804</v>
      </c>
      <c r="M87" s="49">
        <v>315.81</v>
      </c>
      <c r="N87" s="8"/>
      <c r="O87" s="8"/>
    </row>
    <row r="88" spans="1:15" s="6" customFormat="1" ht="11.25">
      <c r="A88" s="36" t="s">
        <v>99</v>
      </c>
      <c r="B88" s="227">
        <v>107.21</v>
      </c>
      <c r="C88" s="306">
        <f t="shared" si="27"/>
        <v>-0.56595141700404861</v>
      </c>
      <c r="D88" s="227">
        <v>247</v>
      </c>
      <c r="E88" s="227">
        <v>135.19999999999999</v>
      </c>
      <c r="F88" s="306">
        <f t="shared" si="24"/>
        <v>-0.59679102919686267</v>
      </c>
      <c r="G88" s="227">
        <v>335.31</v>
      </c>
      <c r="H88" s="306">
        <f t="shared" si="15"/>
        <v>3.258091337418767E-2</v>
      </c>
      <c r="I88" s="48">
        <v>324.73</v>
      </c>
      <c r="J88" s="306">
        <f t="shared" si="21"/>
        <v>-9.5560383244206792E-2</v>
      </c>
      <c r="K88" s="227">
        <v>359.04</v>
      </c>
      <c r="L88" s="266">
        <f t="shared" si="25"/>
        <v>0.4042553191489362</v>
      </c>
      <c r="M88" s="48">
        <v>255.68</v>
      </c>
      <c r="N88" s="8"/>
      <c r="O88" s="8"/>
    </row>
    <row r="89" spans="1:15" s="2" customFormat="1" ht="11.25">
      <c r="A89" s="36" t="s">
        <v>100</v>
      </c>
      <c r="B89" s="227">
        <v>1.39</v>
      </c>
      <c r="C89" s="306"/>
      <c r="D89" s="227">
        <v>0</v>
      </c>
      <c r="E89" s="227">
        <v>0</v>
      </c>
      <c r="F89" s="306">
        <f t="shared" si="24"/>
        <v>-1</v>
      </c>
      <c r="G89" s="227">
        <v>0.13</v>
      </c>
      <c r="H89" s="306"/>
      <c r="I89" s="48">
        <v>0</v>
      </c>
      <c r="J89" s="306"/>
      <c r="K89" s="227">
        <v>0</v>
      </c>
      <c r="L89" s="266"/>
      <c r="M89" s="48">
        <v>0</v>
      </c>
      <c r="N89" s="4"/>
      <c r="O89" s="4"/>
    </row>
    <row r="90" spans="1:15" s="6" customFormat="1" ht="11.25">
      <c r="A90" s="36" t="s">
        <v>101</v>
      </c>
      <c r="B90" s="227">
        <v>134.11000000000001</v>
      </c>
      <c r="C90" s="306">
        <f t="shared" si="27"/>
        <v>-0.2601643956528934</v>
      </c>
      <c r="D90" s="227">
        <v>181.27</v>
      </c>
      <c r="E90" s="227">
        <v>150.19999999999999</v>
      </c>
      <c r="F90" s="306">
        <f t="shared" si="24"/>
        <v>-0.27961630695443651</v>
      </c>
      <c r="G90" s="227">
        <v>208.5</v>
      </c>
      <c r="H90" s="306">
        <f t="shared" si="15"/>
        <v>2.704690831556503</v>
      </c>
      <c r="I90" s="48">
        <v>56.28</v>
      </c>
      <c r="J90" s="306">
        <f t="shared" si="21"/>
        <v>-0.62108664916178546</v>
      </c>
      <c r="K90" s="227">
        <v>148.53</v>
      </c>
      <c r="L90" s="266">
        <f t="shared" si="25"/>
        <v>-0.51023840142447319</v>
      </c>
      <c r="M90" s="48">
        <v>303.27</v>
      </c>
      <c r="N90" s="8"/>
      <c r="O90" s="8"/>
    </row>
    <row r="91" spans="1:15" s="6" customFormat="1" ht="11.25">
      <c r="A91" s="36" t="s">
        <v>102</v>
      </c>
      <c r="B91" s="227">
        <v>20.61</v>
      </c>
      <c r="C91" s="306">
        <f t="shared" si="27"/>
        <v>-0.35249764373232795</v>
      </c>
      <c r="D91" s="227">
        <v>31.83</v>
      </c>
      <c r="E91" s="227">
        <v>13.76</v>
      </c>
      <c r="F91" s="306">
        <f t="shared" si="24"/>
        <v>-0.54041416165664669</v>
      </c>
      <c r="G91" s="227">
        <v>29.94</v>
      </c>
      <c r="H91" s="306">
        <f t="shared" si="15"/>
        <v>-0.13965517241379299</v>
      </c>
      <c r="I91" s="48">
        <v>34.799999999999997</v>
      </c>
      <c r="J91" s="306">
        <f t="shared" si="21"/>
        <v>2.1636363636363636</v>
      </c>
      <c r="K91" s="227">
        <v>11</v>
      </c>
      <c r="L91" s="266">
        <f t="shared" si="25"/>
        <v>6.6925315227934101E-2</v>
      </c>
      <c r="M91" s="48">
        <v>10.31</v>
      </c>
      <c r="N91" s="8"/>
      <c r="O91" s="8"/>
    </row>
    <row r="92" spans="1:15" s="6" customFormat="1" ht="11.25">
      <c r="A92" s="36" t="s">
        <v>103</v>
      </c>
      <c r="B92" s="227">
        <v>0</v>
      </c>
      <c r="C92" s="306">
        <f t="shared" si="27"/>
        <v>-1</v>
      </c>
      <c r="D92" s="227">
        <v>1.1000000000000001</v>
      </c>
      <c r="E92" s="227">
        <v>0</v>
      </c>
      <c r="F92" s="306">
        <f t="shared" si="24"/>
        <v>-1</v>
      </c>
      <c r="G92" s="227">
        <v>1.1599999999999999</v>
      </c>
      <c r="H92" s="306">
        <f t="shared" si="15"/>
        <v>-0.77820267686424471</v>
      </c>
      <c r="I92" s="48">
        <v>5.23</v>
      </c>
      <c r="J92" s="306">
        <f t="shared" si="21"/>
        <v>0.21911421911421924</v>
      </c>
      <c r="K92" s="227">
        <v>4.29</v>
      </c>
      <c r="L92" s="266">
        <f t="shared" si="25"/>
        <v>-0.28260869565217395</v>
      </c>
      <c r="M92" s="48">
        <v>5.98</v>
      </c>
      <c r="N92" s="8"/>
      <c r="O92" s="8"/>
    </row>
    <row r="93" spans="1:15" s="6" customFormat="1" ht="11.25">
      <c r="A93" s="36" t="s">
        <v>104</v>
      </c>
      <c r="B93" s="227">
        <v>0.34</v>
      </c>
      <c r="C93" s="306">
        <f t="shared" si="27"/>
        <v>-0.78616352201257866</v>
      </c>
      <c r="D93" s="227">
        <v>1.59</v>
      </c>
      <c r="E93" s="227">
        <v>0.3</v>
      </c>
      <c r="F93" s="306">
        <f t="shared" si="24"/>
        <v>-0.97900629811056683</v>
      </c>
      <c r="G93" s="227">
        <v>14.29</v>
      </c>
      <c r="H93" s="306">
        <f t="shared" si="15"/>
        <v>5.4954545454545443</v>
      </c>
      <c r="I93" s="48">
        <v>2.2000000000000002</v>
      </c>
      <c r="J93" s="306">
        <f t="shared" si="21"/>
        <v>-0.16666666666666663</v>
      </c>
      <c r="K93" s="227">
        <v>2.64</v>
      </c>
      <c r="L93" s="266">
        <f t="shared" si="25"/>
        <v>5.179282868525914E-2</v>
      </c>
      <c r="M93" s="48">
        <v>2.5099999999999998</v>
      </c>
      <c r="N93" s="8"/>
      <c r="O93" s="8"/>
    </row>
    <row r="94" spans="1:15" s="6" customFormat="1" ht="11.25">
      <c r="A94" s="36" t="s">
        <v>105</v>
      </c>
      <c r="B94" s="229">
        <v>0.01</v>
      </c>
      <c r="C94" s="306">
        <f t="shared" si="27"/>
        <v>0</v>
      </c>
      <c r="D94" s="229">
        <v>0.01</v>
      </c>
      <c r="E94" s="229">
        <v>0.02</v>
      </c>
      <c r="F94" s="306">
        <f t="shared" si="24"/>
        <v>-0.97297297297297303</v>
      </c>
      <c r="G94" s="229">
        <v>0.74</v>
      </c>
      <c r="H94" s="306">
        <f t="shared" si="15"/>
        <v>-0.77844311377245512</v>
      </c>
      <c r="I94" s="50">
        <v>3.34</v>
      </c>
      <c r="J94" s="306">
        <f t="shared" si="21"/>
        <v>-0.70520741394527797</v>
      </c>
      <c r="K94" s="229">
        <v>11.33</v>
      </c>
      <c r="L94" s="266">
        <f t="shared" si="25"/>
        <v>-0.61851851851851847</v>
      </c>
      <c r="M94" s="50">
        <v>29.7</v>
      </c>
      <c r="N94" s="8"/>
      <c r="O94" s="8"/>
    </row>
    <row r="95" spans="1:15" s="6" customFormat="1" ht="11.25">
      <c r="A95" s="36" t="s">
        <v>106</v>
      </c>
      <c r="B95" s="229">
        <v>0</v>
      </c>
      <c r="C95" s="306">
        <f>IF((+B95/D95)&lt;0,"n.m.",IF(B95&lt;0,(+B95/D95-1)*-1,(+B95/D95-1)))</f>
        <v>-1</v>
      </c>
      <c r="D95" s="229">
        <v>0.21</v>
      </c>
      <c r="E95" s="229">
        <v>0.02</v>
      </c>
      <c r="F95" s="306">
        <f>IF((+E95/G95)&lt;0,"n.m.",IF(E95&lt;0,(+E95/G95-1)*-1,(+E95/G95-1)))</f>
        <v>-0.90909090909090906</v>
      </c>
      <c r="G95" s="229">
        <v>0.22</v>
      </c>
      <c r="H95" s="306"/>
      <c r="I95" s="50">
        <v>0</v>
      </c>
      <c r="J95" s="306"/>
      <c r="K95" s="227">
        <v>0</v>
      </c>
      <c r="L95" s="266"/>
      <c r="M95" s="48">
        <v>0</v>
      </c>
      <c r="N95" s="8"/>
      <c r="O95" s="8"/>
    </row>
    <row r="96" spans="1:15" s="6" customFormat="1" ht="11.25">
      <c r="A96" s="40" t="s">
        <v>86</v>
      </c>
      <c r="B96" s="178">
        <f>B74</f>
        <v>7222.36</v>
      </c>
      <c r="C96" s="306">
        <f t="shared" ref="C96:C101" si="28">IF((+B96/D96)&lt;0,"n.m.",IF(B96&lt;0,(+B96/D96-1)*-1,(+B96/D96-1)))</f>
        <v>7.9619057869301235E-2</v>
      </c>
      <c r="D96" s="178">
        <f>D74</f>
        <v>6689.73</v>
      </c>
      <c r="E96" s="178">
        <f>E74</f>
        <v>6603.7</v>
      </c>
      <c r="F96" s="306">
        <f t="shared" ref="F96:F101" si="29">IF((+E96/G96)&lt;0,"n.m.",IF(E96&lt;0,(+E96/G96-1)*-1,(+E96/G96-1)))</f>
        <v>9.8752450009816695E-2</v>
      </c>
      <c r="G96" s="178">
        <f>G74</f>
        <v>6010.18</v>
      </c>
      <c r="H96" s="306">
        <f t="shared" si="15"/>
        <v>4.7135360405879068E-2</v>
      </c>
      <c r="I96" s="51">
        <f>I74</f>
        <v>5739.64</v>
      </c>
      <c r="J96" s="306">
        <f t="shared" si="21"/>
        <v>0.10907917466967088</v>
      </c>
      <c r="K96" s="178">
        <f>K74</f>
        <v>5175.1400000000003</v>
      </c>
      <c r="L96" s="266">
        <f t="shared" si="25"/>
        <v>0.42683367291515606</v>
      </c>
      <c r="M96" s="51">
        <f>M74</f>
        <v>3627.01</v>
      </c>
      <c r="N96" s="8"/>
      <c r="O96" s="8"/>
    </row>
    <row r="97" spans="1:15" s="6" customFormat="1" ht="11.25">
      <c r="A97" s="40" t="s">
        <v>87</v>
      </c>
      <c r="B97" s="178">
        <f>B75</f>
        <v>9.48</v>
      </c>
      <c r="C97" s="306">
        <f t="shared" si="28"/>
        <v>5.9217877094972282E-2</v>
      </c>
      <c r="D97" s="178">
        <f>D75</f>
        <v>8.9499999999999993</v>
      </c>
      <c r="E97" s="178">
        <f>E75</f>
        <v>5.46</v>
      </c>
      <c r="F97" s="306">
        <f t="shared" si="29"/>
        <v>-0.72479838709677424</v>
      </c>
      <c r="G97" s="178">
        <f>G75</f>
        <v>19.84</v>
      </c>
      <c r="H97" s="306">
        <f t="shared" si="15"/>
        <v>0.29082628497072216</v>
      </c>
      <c r="I97" s="51">
        <f>I75</f>
        <v>15.37</v>
      </c>
      <c r="J97" s="306">
        <f t="shared" si="21"/>
        <v>-0.49240422721268173</v>
      </c>
      <c r="K97" s="178">
        <f>K75</f>
        <v>30.28</v>
      </c>
      <c r="L97" s="266">
        <f t="shared" si="25"/>
        <v>0.42628356099858689</v>
      </c>
      <c r="M97" s="51">
        <f>M75</f>
        <v>21.23</v>
      </c>
      <c r="N97" s="8"/>
      <c r="O97" s="8"/>
    </row>
    <row r="98" spans="1:15" s="2" customFormat="1" ht="11.25">
      <c r="A98" s="40" t="s">
        <v>107</v>
      </c>
      <c r="B98" s="177">
        <f>B76+B77+B78+B79+B80+B81+B82+B83+B84+B85</f>
        <v>1427.49</v>
      </c>
      <c r="C98" s="306">
        <f t="shared" si="28"/>
        <v>-8.8093063070544653E-2</v>
      </c>
      <c r="D98" s="177">
        <f>D76+D77+D78+D79+D80+D81+D82+D83+D84+D85</f>
        <v>1565.3899999999999</v>
      </c>
      <c r="E98" s="177">
        <f>E76+E77+E78+E79+E80+E81+E82+E83+E84+E85</f>
        <v>1468.77</v>
      </c>
      <c r="F98" s="306">
        <f t="shared" si="29"/>
        <v>-9.2326516991416252E-2</v>
      </c>
      <c r="G98" s="177">
        <f>G76+G77+G78+G79+G80+G81+G82+G83+G84+G85</f>
        <v>1618.17</v>
      </c>
      <c r="H98" s="306">
        <f t="shared" si="15"/>
        <v>0.1593302669475134</v>
      </c>
      <c r="I98" s="49">
        <f>I76+I77+I78+I79+I80+I81+I82+I83+I84+I85</f>
        <v>1395.7799999999997</v>
      </c>
      <c r="J98" s="306">
        <f t="shared" si="21"/>
        <v>0.57576373365847</v>
      </c>
      <c r="K98" s="177">
        <f>K76+K77+K78+K79+K80+K81+K82+K83+K84+K85</f>
        <v>885.78000000000009</v>
      </c>
      <c r="L98" s="266">
        <f t="shared" si="25"/>
        <v>9.1978253633640206E-2</v>
      </c>
      <c r="M98" s="49">
        <f>M76+M77+M78+M79+M80+M81+M82+M83+M84+M85</f>
        <v>811.17000000000007</v>
      </c>
      <c r="N98" s="4"/>
      <c r="O98" s="4"/>
    </row>
    <row r="99" spans="1:15" s="2" customFormat="1" ht="11.25">
      <c r="A99" s="40" t="s">
        <v>108</v>
      </c>
      <c r="B99" s="177">
        <f>B86+B87+B88+B89+B90+B91</f>
        <v>692.37</v>
      </c>
      <c r="C99" s="306">
        <f t="shared" si="28"/>
        <v>-0.26989834654968792</v>
      </c>
      <c r="D99" s="177">
        <f>D86+D87+D88+D89+D90+D91</f>
        <v>948.32</v>
      </c>
      <c r="E99" s="177">
        <f>E86+E87+E88+E89+E90+E91</f>
        <v>729.3900000000001</v>
      </c>
      <c r="F99" s="306">
        <f t="shared" si="29"/>
        <v>-0.35993155192839277</v>
      </c>
      <c r="G99" s="177">
        <f>G86+G87+G88+G89+G90+G91</f>
        <v>1139.5500000000002</v>
      </c>
      <c r="H99" s="306">
        <f t="shared" si="15"/>
        <v>0.16697388632872534</v>
      </c>
      <c r="I99" s="49">
        <f>I86+I87+I88+I89+I90+I91</f>
        <v>976.49999999999989</v>
      </c>
      <c r="J99" s="306">
        <f t="shared" si="21"/>
        <v>6.0318149736684701E-2</v>
      </c>
      <c r="K99" s="177">
        <f>K86+K87+K88+K89+K90+K91</f>
        <v>920.95</v>
      </c>
      <c r="L99" s="266">
        <f t="shared" si="25"/>
        <v>2.3448352503195213E-2</v>
      </c>
      <c r="M99" s="49">
        <f>M86+M87+M88+M89+M90+M91</f>
        <v>899.84999999999991</v>
      </c>
      <c r="N99" s="4"/>
      <c r="O99" s="4"/>
    </row>
    <row r="100" spans="1:15" s="6" customFormat="1" ht="11.25">
      <c r="A100" s="40" t="s">
        <v>109</v>
      </c>
      <c r="B100" s="141">
        <f>B92+B93+B94+B95</f>
        <v>0.35000000000000003</v>
      </c>
      <c r="C100" s="306">
        <f t="shared" si="28"/>
        <v>-0.8797250859106529</v>
      </c>
      <c r="D100" s="141">
        <f>D92+D93+D94+D95</f>
        <v>2.91</v>
      </c>
      <c r="E100" s="141">
        <f>E92+E93+E94+E95</f>
        <v>0.34</v>
      </c>
      <c r="F100" s="306">
        <f t="shared" si="29"/>
        <v>-0.97928092626447283</v>
      </c>
      <c r="G100" s="141">
        <f>G92+G93+G94+G95</f>
        <v>16.409999999999997</v>
      </c>
      <c r="H100" s="306">
        <f t="shared" si="15"/>
        <v>0.52367688022284087</v>
      </c>
      <c r="I100" s="141">
        <f>I92+I93+I94+I95</f>
        <v>10.77</v>
      </c>
      <c r="J100" s="306">
        <f t="shared" si="21"/>
        <v>-0.41018619934282585</v>
      </c>
      <c r="K100" s="141">
        <f>K92+K93+K94+K95</f>
        <v>18.259999999999998</v>
      </c>
      <c r="L100" s="266">
        <f t="shared" si="25"/>
        <v>-0.52186436239853373</v>
      </c>
      <c r="M100" s="141">
        <f>M92+M93+M94+M95</f>
        <v>38.19</v>
      </c>
      <c r="N100" s="8"/>
      <c r="O100" s="8"/>
    </row>
    <row r="101" spans="1:15" s="29" customFormat="1" ht="10.35" customHeight="1">
      <c r="A101" s="27" t="s">
        <v>114</v>
      </c>
      <c r="B101" s="265">
        <f>SUM(B96:B100)</f>
        <v>9352.0500000000011</v>
      </c>
      <c r="C101" s="305">
        <f t="shared" si="28"/>
        <v>1.483945178127688E-2</v>
      </c>
      <c r="D101" s="265">
        <f>SUM(D96:D100)</f>
        <v>9215.2999999999993</v>
      </c>
      <c r="E101" s="265">
        <f>SUM(E96:E100)</f>
        <v>8807.66</v>
      </c>
      <c r="F101" s="305">
        <f t="shared" si="29"/>
        <v>3.9867562456330496E-4</v>
      </c>
      <c r="G101" s="265">
        <f>SUM(G96:G100)</f>
        <v>8804.1500000000015</v>
      </c>
      <c r="H101" s="305">
        <f t="shared" si="15"/>
        <v>8.1848745278358948E-2</v>
      </c>
      <c r="I101" s="265">
        <f>SUM(I96:I100)</f>
        <v>8138.06</v>
      </c>
      <c r="J101" s="305">
        <f t="shared" si="21"/>
        <v>0.15755126656909058</v>
      </c>
      <c r="K101" s="265">
        <f>SUM(K96:K100)</f>
        <v>7030.41</v>
      </c>
      <c r="L101" s="293">
        <f t="shared" si="25"/>
        <v>0.30254286746519199</v>
      </c>
      <c r="M101" s="265">
        <f>SUM(M96:M100)</f>
        <v>5397.45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7" fitToWidth="0" orientation="landscape" r:id="rId1"/>
  <headerFooter alignWithMargins="0">
    <oddHeader>&amp;A</oddHeader>
  </headerFooter>
  <rowBreaks count="2" manualBreakCount="2">
    <brk id="42" max="1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1"/>
  <sheetViews>
    <sheetView view="pageBreakPreview" zoomScale="115" zoomScaleNormal="100" zoomScaleSheetLayoutView="115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baseColWidth="10" defaultColWidth="20.5703125" defaultRowHeight="12" customHeight="1" outlineLevelRow="1"/>
  <cols>
    <col min="1" max="1" width="20.5703125" style="91" customWidth="1"/>
    <col min="2" max="13" width="10.85546875" style="26" customWidth="1"/>
    <col min="14" max="16384" width="20.5703125" style="91"/>
  </cols>
  <sheetData>
    <row r="1" spans="1:15" s="55" customFormat="1" ht="24.75" customHeight="1">
      <c r="A1" s="90" t="s">
        <v>122</v>
      </c>
      <c r="B1" s="151" t="s">
        <v>159</v>
      </c>
      <c r="C1" s="151" t="s">
        <v>161</v>
      </c>
      <c r="D1" s="151" t="s">
        <v>158</v>
      </c>
      <c r="E1" s="151">
        <v>2019</v>
      </c>
      <c r="F1" s="151" t="s">
        <v>156</v>
      </c>
      <c r="G1" s="151">
        <v>2018</v>
      </c>
      <c r="H1" s="151" t="s">
        <v>151</v>
      </c>
      <c r="I1" s="151">
        <v>2017</v>
      </c>
      <c r="J1" s="151" t="s">
        <v>135</v>
      </c>
      <c r="K1" s="151">
        <v>2016</v>
      </c>
      <c r="L1" s="151" t="s">
        <v>130</v>
      </c>
      <c r="M1" s="1">
        <v>2015</v>
      </c>
    </row>
    <row r="2" spans="1:15" ht="3" hidden="1" customHeight="1" outlineLevel="1"/>
    <row r="3" spans="1:15" s="94" customFormat="1" ht="10.35" customHeight="1" collapsed="1">
      <c r="A3" s="92" t="s">
        <v>1</v>
      </c>
      <c r="B3" s="349">
        <f>B71</f>
        <v>1891.3700000000001</v>
      </c>
      <c r="C3" s="303">
        <f>IF((+B3/D3)&lt;0,"n.m.",IF(B3&lt;0,(+B3/D3-1)*-1,(+B3/D3-1)))</f>
        <v>-8.5366797233908831E-2</v>
      </c>
      <c r="D3" s="349">
        <f>D71</f>
        <v>2067.9</v>
      </c>
      <c r="E3" s="349">
        <f>E71</f>
        <v>4915.79</v>
      </c>
      <c r="F3" s="303">
        <f>IF((+E3/G3)&lt;0,"n.m.",IF(E3&lt;0,(+E3/G3-1)*-1,(+E3/G3-1)))</f>
        <v>5.9606488965912918E-2</v>
      </c>
      <c r="G3" s="349">
        <f>G71</f>
        <v>4639.2599999999993</v>
      </c>
      <c r="H3" s="303">
        <f>IF((+G3/I3)&lt;0,"n.m.",IF(G3&lt;0,(+G3/I3-1)*-1,(+G3/I3-1)))</f>
        <v>9.3752357600905389E-2</v>
      </c>
      <c r="I3" s="269">
        <f>I71</f>
        <v>4241.5999999999995</v>
      </c>
      <c r="J3" s="303">
        <f>IF((+I3/K3)&lt;0,"n.m.",IF(I3&lt;0,(+I3/K3-1)*-1,(+I3/K3-1)))</f>
        <v>6.0140265634919254E-2</v>
      </c>
      <c r="K3" s="230">
        <f>K71</f>
        <v>4000.9800000000005</v>
      </c>
      <c r="L3" s="279">
        <f t="shared" ref="L3:L7" si="0">IF((+K3/M3)&lt;0,"n.m.",IF(K3&lt;0,(+K3/M3-1)*-1,(+K3/M3-1)))</f>
        <v>-0.11778052668831973</v>
      </c>
      <c r="M3" s="93">
        <f>M71</f>
        <v>4535.13</v>
      </c>
    </row>
    <row r="4" spans="1:15" s="94" customFormat="1" ht="10.35" customHeight="1">
      <c r="A4" s="92" t="s">
        <v>2</v>
      </c>
      <c r="B4" s="349">
        <f>B101</f>
        <v>4788.7700000000004</v>
      </c>
      <c r="C4" s="303">
        <f t="shared" ref="C4:C7" si="1">IF((+B4/D4)&lt;0,"n.m.",IF(B4&lt;0,(+B4/D4-1)*-1,(+B4/D4-1)))</f>
        <v>2.0383072205850672E-2</v>
      </c>
      <c r="D4" s="349">
        <f>D101</f>
        <v>4693.1100000000006</v>
      </c>
      <c r="E4" s="349">
        <f>E101</f>
        <v>4489.37</v>
      </c>
      <c r="F4" s="303">
        <f t="shared" ref="F4:F7" si="2">IF((+E4/G4)&lt;0,"n.m.",IF(E4&lt;0,(+E4/G4-1)*-1,(+E4/G4-1)))</f>
        <v>4.1375550916260995E-2</v>
      </c>
      <c r="G4" s="349">
        <f>G101</f>
        <v>4310.9999999999991</v>
      </c>
      <c r="H4" s="303">
        <f t="shared" ref="H4:H7" si="3">IF((+G4/I4)&lt;0,"n.m.",IF(G4&lt;0,(+G4/I4-1)*-1,(+G4/I4-1)))</f>
        <v>-4.3010155946500928E-2</v>
      </c>
      <c r="I4" s="269">
        <f>I101</f>
        <v>4504.7499999999991</v>
      </c>
      <c r="J4" s="303">
        <f t="shared" ref="J4:J67" si="4">IF((+I4/K4)&lt;0,"n.m.",IF(I4&lt;0,(+I4/K4-1)*-1,(+I4/K4-1)))</f>
        <v>0.29349826710426918</v>
      </c>
      <c r="K4" s="230">
        <f>K101</f>
        <v>3482.61</v>
      </c>
      <c r="L4" s="279">
        <f t="shared" si="0"/>
        <v>1.4838459215802402E-3</v>
      </c>
      <c r="M4" s="93">
        <f>M101</f>
        <v>3477.4500000000007</v>
      </c>
    </row>
    <row r="5" spans="1:15" s="94" customFormat="1" ht="10.35" customHeight="1">
      <c r="A5" s="92" t="s">
        <v>3</v>
      </c>
      <c r="B5" s="349">
        <v>1833.42</v>
      </c>
      <c r="C5" s="303">
        <f t="shared" si="1"/>
        <v>-6.3080649612133666E-2</v>
      </c>
      <c r="D5" s="349">
        <v>1956.86</v>
      </c>
      <c r="E5" s="349">
        <v>4879.5</v>
      </c>
      <c r="F5" s="303">
        <f t="shared" si="2"/>
        <v>7.9102563507159607E-2</v>
      </c>
      <c r="G5" s="349">
        <v>4521.8130000000001</v>
      </c>
      <c r="H5" s="303">
        <f t="shared" si="3"/>
        <v>0.11010775020806185</v>
      </c>
      <c r="I5" s="269">
        <v>4073.31</v>
      </c>
      <c r="J5" s="303">
        <f t="shared" si="4"/>
        <v>4.7521936366535344E-2</v>
      </c>
      <c r="K5" s="269">
        <v>3888.52</v>
      </c>
      <c r="L5" s="279">
        <f t="shared" si="0"/>
        <v>-0.11871904993937477</v>
      </c>
      <c r="M5" s="93">
        <v>4412.3500000000004</v>
      </c>
    </row>
    <row r="6" spans="1:15" s="94" customFormat="1" ht="10.35" customHeight="1">
      <c r="A6" s="92" t="s">
        <v>116</v>
      </c>
      <c r="B6" s="349">
        <v>44.32</v>
      </c>
      <c r="C6" s="303" t="str">
        <f t="shared" si="1"/>
        <v>n.m.</v>
      </c>
      <c r="D6" s="349">
        <v>-20.87</v>
      </c>
      <c r="E6" s="349">
        <v>121.97</v>
      </c>
      <c r="F6" s="303">
        <f t="shared" si="2"/>
        <v>-0.14121962725397275</v>
      </c>
      <c r="G6" s="349">
        <v>142.02699999999999</v>
      </c>
      <c r="H6" s="303">
        <f t="shared" si="3"/>
        <v>-0.30586481599139836</v>
      </c>
      <c r="I6" s="269">
        <v>204.61</v>
      </c>
      <c r="J6" s="303">
        <f t="shared" si="4"/>
        <v>8.8351063829787302E-2</v>
      </c>
      <c r="K6" s="233">
        <v>188</v>
      </c>
      <c r="L6" s="279">
        <f t="shared" si="0"/>
        <v>-4.5917745929925702E-2</v>
      </c>
      <c r="M6" s="93">
        <v>197.048</v>
      </c>
    </row>
    <row r="7" spans="1:15" s="94" customFormat="1" ht="10.35" customHeight="1">
      <c r="A7" s="92" t="s">
        <v>126</v>
      </c>
      <c r="B7" s="349">
        <v>44.32</v>
      </c>
      <c r="C7" s="303" t="str">
        <f t="shared" si="1"/>
        <v>n.m.</v>
      </c>
      <c r="D7" s="349">
        <v>-20.87</v>
      </c>
      <c r="E7" s="349">
        <v>121.97</v>
      </c>
      <c r="F7" s="303">
        <f t="shared" si="2"/>
        <v>-0.14121962725397275</v>
      </c>
      <c r="G7" s="349">
        <v>142.02699999999999</v>
      </c>
      <c r="H7" s="303">
        <f t="shared" si="3"/>
        <v>-0.30586481599139836</v>
      </c>
      <c r="I7" s="269">
        <v>204.61</v>
      </c>
      <c r="J7" s="303">
        <f t="shared" si="4"/>
        <v>8.8351063829787302E-2</v>
      </c>
      <c r="K7" s="233">
        <v>188</v>
      </c>
      <c r="L7" s="279">
        <f t="shared" si="0"/>
        <v>-4.5917745929925702E-2</v>
      </c>
      <c r="M7" s="93">
        <v>197.048</v>
      </c>
    </row>
    <row r="8" spans="1:15" ht="10.35" customHeight="1">
      <c r="A8" s="95" t="s">
        <v>117</v>
      </c>
      <c r="B8" s="231">
        <f>B6/B5</f>
        <v>2.4173402711871801E-2</v>
      </c>
      <c r="C8" s="304"/>
      <c r="D8" s="231">
        <f>D6/D5</f>
        <v>-1.0665045021105241E-2</v>
      </c>
      <c r="E8" s="231">
        <f>E6/E5</f>
        <v>2.4996413566963829E-2</v>
      </c>
      <c r="F8" s="304"/>
      <c r="G8" s="231">
        <f>G6/G5</f>
        <v>3.1409304188386382E-2</v>
      </c>
      <c r="H8" s="304"/>
      <c r="I8" s="96">
        <f>I6/I5</f>
        <v>5.0231875305341359E-2</v>
      </c>
      <c r="J8" s="304"/>
      <c r="K8" s="231">
        <f>K6/K5</f>
        <v>4.8347443243187641E-2</v>
      </c>
      <c r="L8" s="96"/>
      <c r="M8" s="96">
        <f>M6/M5</f>
        <v>4.465828866703684E-2</v>
      </c>
    </row>
    <row r="9" spans="1:15" ht="10.35" customHeight="1">
      <c r="A9" s="95" t="s">
        <v>118</v>
      </c>
      <c r="B9" s="232">
        <f>B3/Group!B2</f>
        <v>0.28145051844620905</v>
      </c>
      <c r="C9" s="456"/>
      <c r="D9" s="232">
        <f>D3/Group!D2</f>
        <v>0.27546326823400591</v>
      </c>
      <c r="E9" s="232">
        <f>E3/Group!E2</f>
        <v>0.29581170263275236</v>
      </c>
      <c r="F9" s="304"/>
      <c r="G9" s="232">
        <f>G3/Group!G2</f>
        <v>0.28421822619537723</v>
      </c>
      <c r="H9" s="304"/>
      <c r="I9" s="97">
        <f>I3/Group!I2</f>
        <v>0.29010545869642679</v>
      </c>
      <c r="J9" s="304"/>
      <c r="K9" s="232">
        <f>K3/Group!K2</f>
        <v>0.29656594048045259</v>
      </c>
      <c r="L9" s="97"/>
      <c r="M9" s="97">
        <f>M3/Group!M2</f>
        <v>0.31736922103660242</v>
      </c>
    </row>
    <row r="10" spans="1:15" ht="10.35" customHeight="1">
      <c r="A10" s="95" t="s">
        <v>119</v>
      </c>
      <c r="B10" s="232">
        <f>B4/Group!B3</f>
        <v>0.24632906287582543</v>
      </c>
      <c r="C10" s="456"/>
      <c r="D10" s="232">
        <f>D4/Group!D3</f>
        <v>0.25609570431761891</v>
      </c>
      <c r="E10" s="232">
        <f>E4/Group!E3</f>
        <v>0.25783965521598395</v>
      </c>
      <c r="F10" s="304"/>
      <c r="G10" s="232">
        <f>G4/Group!G3</f>
        <v>0.25509313473426465</v>
      </c>
      <c r="H10" s="304"/>
      <c r="I10" s="97">
        <f>I4/Group!I3</f>
        <v>0.2715034531972586</v>
      </c>
      <c r="J10" s="304"/>
      <c r="K10" s="232">
        <f>K4/Group!K3</f>
        <v>0.23506070212928237</v>
      </c>
      <c r="L10" s="97"/>
      <c r="M10" s="97">
        <f>M4/Group!M3</f>
        <v>0.26475532525592754</v>
      </c>
    </row>
    <row r="11" spans="1:15" ht="10.35" customHeight="1">
      <c r="A11" s="95"/>
      <c r="B11" s="457"/>
      <c r="C11" s="456"/>
      <c r="D11" s="457"/>
      <c r="E11" s="386"/>
      <c r="F11" s="304"/>
      <c r="G11" s="386"/>
      <c r="H11" s="304"/>
      <c r="I11" s="98"/>
      <c r="J11" s="304"/>
      <c r="K11" s="98"/>
      <c r="L11" s="98"/>
      <c r="M11" s="98"/>
    </row>
    <row r="12" spans="1:15" s="94" customFormat="1" ht="10.35" customHeight="1">
      <c r="A12" s="99" t="s">
        <v>85</v>
      </c>
      <c r="B12" s="458"/>
      <c r="C12" s="456"/>
      <c r="D12" s="458"/>
      <c r="E12" s="100"/>
      <c r="F12" s="304"/>
      <c r="G12" s="100"/>
      <c r="H12" s="304"/>
      <c r="I12" s="100"/>
      <c r="J12" s="304"/>
      <c r="K12" s="100"/>
      <c r="L12" s="100"/>
      <c r="M12" s="100"/>
    </row>
    <row r="13" spans="1:15" s="2" customFormat="1" ht="11.25">
      <c r="A13" s="101" t="s">
        <v>86</v>
      </c>
      <c r="B13" s="234">
        <v>545</v>
      </c>
      <c r="C13" s="304">
        <f>IF((+B13/D13)&lt;0,"n.m.",IF(B13&lt;0,(+B13/D13-1)*-1,(+B13/D13-1)))</f>
        <v>3.2196969696969724E-2</v>
      </c>
      <c r="D13" s="234">
        <v>528</v>
      </c>
      <c r="E13" s="234">
        <v>538</v>
      </c>
      <c r="F13" s="304">
        <f>IF((+E13/G13)&lt;0,"n.m.",IF(E13&lt;0,(+E13/G13-1)*-1,(+E13/G13-1)))</f>
        <v>0.13983050847457634</v>
      </c>
      <c r="G13" s="234">
        <v>472</v>
      </c>
      <c r="H13" s="304">
        <f>IF((+G13/I13)&lt;0,"n.m.",IF(G13&lt;0,(+G13/I13-1)*-1,(+G13/I13-1)))</f>
        <v>6.3063063063063085E-2</v>
      </c>
      <c r="I13" s="102">
        <v>444</v>
      </c>
      <c r="J13" s="304">
        <f t="shared" si="4"/>
        <v>-0.20572450805008946</v>
      </c>
      <c r="K13" s="234">
        <v>559</v>
      </c>
      <c r="L13" s="270">
        <f>IF((+K13/M13)&lt;0,"n.m.",IF(K13&lt;0,(+K13/M13-1)*-1,(+K13/M13-1)))</f>
        <v>-3.7865748709122182E-2</v>
      </c>
      <c r="M13" s="102">
        <v>581</v>
      </c>
      <c r="N13" s="4"/>
      <c r="O13" s="4"/>
    </row>
    <row r="14" spans="1:15" s="2" customFormat="1" ht="11.25">
      <c r="A14" s="101" t="s">
        <v>87</v>
      </c>
      <c r="B14" s="234">
        <v>7277</v>
      </c>
      <c r="C14" s="304">
        <f t="shared" ref="C14:C26" si="5">IF((+B14/D14)&lt;0,"n.m.",IF(B14&lt;0,(+B14/D14-1)*-1,(+B14/D14-1)))</f>
        <v>1.9330438436755859E-2</v>
      </c>
      <c r="D14" s="234">
        <v>7139</v>
      </c>
      <c r="E14" s="234">
        <v>7708</v>
      </c>
      <c r="F14" s="304">
        <f t="shared" ref="F14:F34" si="6">IF((+E14/G14)&lt;0,"n.m.",IF(E14&lt;0,(+E14/G14-1)*-1,(+E14/G14-1)))</f>
        <v>6.5671229088898109E-2</v>
      </c>
      <c r="G14" s="234">
        <v>7233</v>
      </c>
      <c r="H14" s="304">
        <f t="shared" ref="H14:H40" si="7">IF((+G14/I14)&lt;0,"n.m.",IF(G14&lt;0,(+G14/I14-1)*-1,(+G14/I14-1)))</f>
        <v>5.2685198661039045E-2</v>
      </c>
      <c r="I14" s="102">
        <v>6871</v>
      </c>
      <c r="J14" s="304">
        <f t="shared" si="4"/>
        <v>1.6871392629865367E-2</v>
      </c>
      <c r="K14" s="234">
        <v>6757</v>
      </c>
      <c r="L14" s="270">
        <f t="shared" ref="L14:L39" si="8">IF((+K14/M14)&lt;0,"n.m.",IF(K14&lt;0,(+K14/M14-1)*-1,(+K14/M14-1)))</f>
        <v>-1.0253405595429865E-2</v>
      </c>
      <c r="M14" s="102">
        <v>6827</v>
      </c>
      <c r="N14" s="4"/>
      <c r="O14" s="4"/>
    </row>
    <row r="15" spans="1:15" s="2" customFormat="1" ht="11.25">
      <c r="A15" s="101" t="s">
        <v>88</v>
      </c>
      <c r="B15" s="234">
        <v>4</v>
      </c>
      <c r="C15" s="304">
        <f t="shared" si="5"/>
        <v>0</v>
      </c>
      <c r="D15" s="234">
        <v>4</v>
      </c>
      <c r="E15" s="234">
        <v>4</v>
      </c>
      <c r="F15" s="304">
        <f t="shared" si="6"/>
        <v>0</v>
      </c>
      <c r="G15" s="234">
        <v>4</v>
      </c>
      <c r="H15" s="304">
        <f t="shared" si="7"/>
        <v>-0.33333333333333337</v>
      </c>
      <c r="I15" s="102">
        <v>6</v>
      </c>
      <c r="J15" s="304">
        <f t="shared" si="4"/>
        <v>-0.85</v>
      </c>
      <c r="K15" s="234">
        <v>40</v>
      </c>
      <c r="L15" s="270">
        <f t="shared" si="8"/>
        <v>-4.7619047619047672E-2</v>
      </c>
      <c r="M15" s="102">
        <v>42</v>
      </c>
      <c r="N15" s="4"/>
      <c r="O15" s="4"/>
    </row>
    <row r="16" spans="1:15" s="2" customFormat="1" ht="11.25">
      <c r="A16" s="101" t="s">
        <v>89</v>
      </c>
      <c r="B16" s="234">
        <v>2732</v>
      </c>
      <c r="C16" s="304">
        <f t="shared" si="5"/>
        <v>5.7684862562911388E-2</v>
      </c>
      <c r="D16" s="234">
        <v>2583</v>
      </c>
      <c r="E16" s="234">
        <v>2759</v>
      </c>
      <c r="F16" s="304">
        <f t="shared" si="6"/>
        <v>7.1040372670807539E-2</v>
      </c>
      <c r="G16" s="234">
        <v>2576</v>
      </c>
      <c r="H16" s="304">
        <f t="shared" si="7"/>
        <v>3.0399999999999983E-2</v>
      </c>
      <c r="I16" s="102">
        <v>2500</v>
      </c>
      <c r="J16" s="304">
        <f t="shared" si="4"/>
        <v>-2.7237354085603127E-2</v>
      </c>
      <c r="K16" s="234">
        <v>2570</v>
      </c>
      <c r="L16" s="270">
        <f t="shared" si="8"/>
        <v>-1.2677679600460956E-2</v>
      </c>
      <c r="M16" s="102">
        <v>2603</v>
      </c>
      <c r="N16" s="4"/>
      <c r="O16" s="4"/>
    </row>
    <row r="17" spans="1:15" s="6" customFormat="1" ht="11.25">
      <c r="A17" s="101" t="s">
        <v>90</v>
      </c>
      <c r="B17" s="234">
        <v>1973</v>
      </c>
      <c r="C17" s="304">
        <f t="shared" si="5"/>
        <v>-5.5443548387096309E-3</v>
      </c>
      <c r="D17" s="234">
        <v>1984</v>
      </c>
      <c r="E17" s="234">
        <v>1993</v>
      </c>
      <c r="F17" s="304">
        <f t="shared" si="6"/>
        <v>6.5205772314270494E-2</v>
      </c>
      <c r="G17" s="234">
        <v>1871</v>
      </c>
      <c r="H17" s="304">
        <f t="shared" si="7"/>
        <v>0.13462704669496661</v>
      </c>
      <c r="I17" s="102">
        <v>1649</v>
      </c>
      <c r="J17" s="304">
        <f t="shared" si="4"/>
        <v>4.2351453855878685E-2</v>
      </c>
      <c r="K17" s="234">
        <v>1582</v>
      </c>
      <c r="L17" s="270">
        <f t="shared" si="8"/>
        <v>-5.2127022168963477E-2</v>
      </c>
      <c r="M17" s="102">
        <v>1669</v>
      </c>
      <c r="N17" s="8"/>
      <c r="O17" s="8"/>
    </row>
    <row r="18" spans="1:15" s="6" customFormat="1" ht="11.25">
      <c r="A18" s="101" t="s">
        <v>132</v>
      </c>
      <c r="B18" s="234">
        <v>594</v>
      </c>
      <c r="C18" s="304">
        <f t="shared" si="5"/>
        <v>0.1020408163265305</v>
      </c>
      <c r="D18" s="234">
        <v>539</v>
      </c>
      <c r="E18" s="234">
        <v>531</v>
      </c>
      <c r="F18" s="304">
        <f t="shared" si="6"/>
        <v>-9.2307692307692313E-2</v>
      </c>
      <c r="G18" s="234">
        <v>585</v>
      </c>
      <c r="H18" s="304">
        <f t="shared" si="7"/>
        <v>-9.722222222222221E-2</v>
      </c>
      <c r="I18" s="102">
        <v>648</v>
      </c>
      <c r="J18" s="304">
        <f t="shared" si="4"/>
        <v>1.4084507042253502E-2</v>
      </c>
      <c r="K18" s="234">
        <v>639</v>
      </c>
      <c r="L18" s="270">
        <f t="shared" si="8"/>
        <v>-0.27220956719817768</v>
      </c>
      <c r="M18" s="102">
        <v>878</v>
      </c>
      <c r="N18" s="8"/>
      <c r="O18" s="8"/>
    </row>
    <row r="19" spans="1:15" s="6" customFormat="1" ht="11.25">
      <c r="A19" s="101" t="s">
        <v>91</v>
      </c>
      <c r="B19" s="234">
        <v>1197</v>
      </c>
      <c r="C19" s="304">
        <f t="shared" si="5"/>
        <v>-5.5993690851735001E-2</v>
      </c>
      <c r="D19" s="234">
        <v>1268</v>
      </c>
      <c r="E19" s="234">
        <v>1255</v>
      </c>
      <c r="F19" s="304">
        <f t="shared" si="6"/>
        <v>-5.2114803625377681E-2</v>
      </c>
      <c r="G19" s="234">
        <v>1324</v>
      </c>
      <c r="H19" s="304">
        <f t="shared" si="7"/>
        <v>3.7907505686125553E-3</v>
      </c>
      <c r="I19" s="102">
        <v>1319</v>
      </c>
      <c r="J19" s="304">
        <f t="shared" si="4"/>
        <v>1.3835511145272816E-2</v>
      </c>
      <c r="K19" s="234">
        <v>1301</v>
      </c>
      <c r="L19" s="270">
        <f t="shared" si="8"/>
        <v>-4.5906656465187767E-3</v>
      </c>
      <c r="M19" s="102">
        <v>1307</v>
      </c>
      <c r="N19" s="8"/>
      <c r="O19" s="8"/>
    </row>
    <row r="20" spans="1:15" s="6" customFormat="1" ht="11.25">
      <c r="A20" s="101" t="s">
        <v>92</v>
      </c>
      <c r="B20" s="234">
        <v>1170</v>
      </c>
      <c r="C20" s="304">
        <f t="shared" si="5"/>
        <v>0.23548046462513206</v>
      </c>
      <c r="D20" s="234">
        <v>947</v>
      </c>
      <c r="E20" s="234">
        <v>1033</v>
      </c>
      <c r="F20" s="304">
        <f t="shared" si="6"/>
        <v>0.12404787812840046</v>
      </c>
      <c r="G20" s="234">
        <v>919</v>
      </c>
      <c r="H20" s="304">
        <f t="shared" si="7"/>
        <v>2.2246941045606317E-2</v>
      </c>
      <c r="I20" s="102">
        <v>899</v>
      </c>
      <c r="J20" s="304">
        <f t="shared" si="4"/>
        <v>3.0963302752293531E-2</v>
      </c>
      <c r="K20" s="234">
        <v>872</v>
      </c>
      <c r="L20" s="270">
        <f t="shared" si="8"/>
        <v>6.6014669926650393E-2</v>
      </c>
      <c r="M20" s="102">
        <v>818</v>
      </c>
      <c r="N20" s="8"/>
      <c r="O20" s="8"/>
    </row>
    <row r="21" spans="1:15" s="6" customFormat="1" ht="11.25">
      <c r="A21" s="101" t="s">
        <v>93</v>
      </c>
      <c r="B21" s="234">
        <v>981</v>
      </c>
      <c r="C21" s="304">
        <f t="shared" si="5"/>
        <v>0.13805104408352675</v>
      </c>
      <c r="D21" s="234">
        <v>862</v>
      </c>
      <c r="E21" s="234">
        <v>879</v>
      </c>
      <c r="F21" s="304">
        <f t="shared" si="6"/>
        <v>0.10012515644555697</v>
      </c>
      <c r="G21" s="234">
        <v>799</v>
      </c>
      <c r="H21" s="304">
        <f t="shared" si="7"/>
        <v>0.14964028776978422</v>
      </c>
      <c r="I21" s="102">
        <v>695</v>
      </c>
      <c r="J21" s="304">
        <f t="shared" si="4"/>
        <v>0.36811023622047245</v>
      </c>
      <c r="K21" s="234">
        <v>508</v>
      </c>
      <c r="L21" s="270">
        <f t="shared" si="8"/>
        <v>5.6133056133056192E-2</v>
      </c>
      <c r="M21" s="102">
        <v>481</v>
      </c>
      <c r="N21" s="8"/>
      <c r="O21" s="8"/>
    </row>
    <row r="22" spans="1:15" s="6" customFormat="1" ht="11.25">
      <c r="A22" s="101" t="s">
        <v>94</v>
      </c>
      <c r="B22" s="234">
        <v>118</v>
      </c>
      <c r="C22" s="304">
        <f t="shared" si="5"/>
        <v>-0.10606060606060608</v>
      </c>
      <c r="D22" s="234">
        <v>132</v>
      </c>
      <c r="E22" s="234">
        <v>133</v>
      </c>
      <c r="F22" s="304">
        <f t="shared" si="6"/>
        <v>-6.3380281690140872E-2</v>
      </c>
      <c r="G22" s="234">
        <v>142</v>
      </c>
      <c r="H22" s="304">
        <f t="shared" si="7"/>
        <v>-0.23655913978494625</v>
      </c>
      <c r="I22" s="102">
        <v>186</v>
      </c>
      <c r="J22" s="304">
        <f t="shared" si="4"/>
        <v>6.8965517241379226E-2</v>
      </c>
      <c r="K22" s="234">
        <v>174</v>
      </c>
      <c r="L22" s="270">
        <f t="shared" si="8"/>
        <v>-2.2471910112359605E-2</v>
      </c>
      <c r="M22" s="102">
        <v>178</v>
      </c>
      <c r="N22" s="8"/>
      <c r="O22" s="8"/>
    </row>
    <row r="23" spans="1:15" s="6" customFormat="1" ht="11.25">
      <c r="A23" s="101" t="s">
        <v>95</v>
      </c>
      <c r="B23" s="234">
        <v>1298</v>
      </c>
      <c r="C23" s="304">
        <f t="shared" si="5"/>
        <v>0.14968999114260417</v>
      </c>
      <c r="D23" s="234">
        <v>1129</v>
      </c>
      <c r="E23" s="234">
        <v>1189</v>
      </c>
      <c r="F23" s="304">
        <f t="shared" si="6"/>
        <v>0.16683022571148176</v>
      </c>
      <c r="G23" s="234">
        <v>1019</v>
      </c>
      <c r="H23" s="304">
        <f t="shared" si="7"/>
        <v>0.17261219792865368</v>
      </c>
      <c r="I23" s="102">
        <v>869</v>
      </c>
      <c r="J23" s="304">
        <f t="shared" si="4"/>
        <v>0.19696969696969702</v>
      </c>
      <c r="K23" s="234">
        <v>726</v>
      </c>
      <c r="L23" s="270">
        <f t="shared" si="8"/>
        <v>0.27145359019264448</v>
      </c>
      <c r="M23" s="102">
        <v>571</v>
      </c>
      <c r="N23" s="8"/>
      <c r="O23" s="8"/>
    </row>
    <row r="24" spans="1:15" s="6" customFormat="1" ht="11.25">
      <c r="A24" s="101" t="s">
        <v>96</v>
      </c>
      <c r="B24" s="234">
        <v>351</v>
      </c>
      <c r="C24" s="304">
        <f t="shared" si="5"/>
        <v>0.13961038961038952</v>
      </c>
      <c r="D24" s="234">
        <v>308</v>
      </c>
      <c r="E24" s="234">
        <v>312</v>
      </c>
      <c r="F24" s="304">
        <f t="shared" si="6"/>
        <v>0.11428571428571432</v>
      </c>
      <c r="G24" s="234">
        <v>280</v>
      </c>
      <c r="H24" s="304">
        <f t="shared" si="7"/>
        <v>6.4638783269961975E-2</v>
      </c>
      <c r="I24" s="102">
        <v>263</v>
      </c>
      <c r="J24" s="304">
        <f t="shared" si="4"/>
        <v>7.6628352490422103E-3</v>
      </c>
      <c r="K24" s="234">
        <v>261</v>
      </c>
      <c r="L24" s="270">
        <f t="shared" si="8"/>
        <v>0</v>
      </c>
      <c r="M24" s="102">
        <v>261</v>
      </c>
      <c r="N24" s="8"/>
      <c r="O24" s="8"/>
    </row>
    <row r="25" spans="1:15" s="6" customFormat="1" ht="11.25">
      <c r="A25" s="101" t="s">
        <v>97</v>
      </c>
      <c r="B25" s="234">
        <v>660</v>
      </c>
      <c r="C25" s="304">
        <f t="shared" si="5"/>
        <v>-6.5155807365439133E-2</v>
      </c>
      <c r="D25" s="234">
        <v>706</v>
      </c>
      <c r="E25" s="234">
        <v>703</v>
      </c>
      <c r="F25" s="304">
        <f t="shared" si="6"/>
        <v>-8.1045751633986973E-2</v>
      </c>
      <c r="G25" s="234">
        <v>765</v>
      </c>
      <c r="H25" s="304">
        <f t="shared" si="7"/>
        <v>-6.9343065693430628E-2</v>
      </c>
      <c r="I25" s="102">
        <v>822</v>
      </c>
      <c r="J25" s="304">
        <f t="shared" si="4"/>
        <v>-0.13015873015873014</v>
      </c>
      <c r="K25" s="234">
        <v>945</v>
      </c>
      <c r="L25" s="270">
        <f t="shared" si="8"/>
        <v>-7.0796460176991149E-2</v>
      </c>
      <c r="M25" s="102">
        <v>1017</v>
      </c>
      <c r="N25" s="8"/>
      <c r="O25" s="8"/>
    </row>
    <row r="26" spans="1:15" s="6" customFormat="1" ht="11.25">
      <c r="A26" s="101" t="s">
        <v>98</v>
      </c>
      <c r="B26" s="103">
        <v>5</v>
      </c>
      <c r="C26" s="304">
        <f t="shared" si="5"/>
        <v>-0.5</v>
      </c>
      <c r="D26" s="103">
        <v>10</v>
      </c>
      <c r="E26" s="103">
        <v>8</v>
      </c>
      <c r="F26" s="304">
        <f t="shared" si="6"/>
        <v>-0.33333333333333337</v>
      </c>
      <c r="G26" s="103">
        <v>12</v>
      </c>
      <c r="H26" s="304">
        <f t="shared" si="7"/>
        <v>-7.6923076923076872E-2</v>
      </c>
      <c r="I26" s="103">
        <v>13</v>
      </c>
      <c r="J26" s="304">
        <f t="shared" si="4"/>
        <v>3.333333333333333</v>
      </c>
      <c r="K26" s="235">
        <v>3</v>
      </c>
      <c r="L26" s="270">
        <f t="shared" si="8"/>
        <v>0.5</v>
      </c>
      <c r="M26" s="103">
        <v>2</v>
      </c>
      <c r="N26" s="8"/>
      <c r="O26" s="8"/>
    </row>
    <row r="27" spans="1:15" s="6" customFormat="1" ht="11.25">
      <c r="A27" s="101" t="s">
        <v>99</v>
      </c>
      <c r="B27" s="234">
        <v>0</v>
      </c>
      <c r="C27" s="304"/>
      <c r="D27" s="234">
        <v>0</v>
      </c>
      <c r="E27" s="234">
        <v>0</v>
      </c>
      <c r="F27" s="304"/>
      <c r="G27" s="234">
        <v>0</v>
      </c>
      <c r="H27" s="304"/>
      <c r="I27" s="102">
        <v>0</v>
      </c>
      <c r="J27" s="304">
        <f t="shared" si="4"/>
        <v>-1</v>
      </c>
      <c r="K27" s="234">
        <v>8</v>
      </c>
      <c r="L27" s="270">
        <f t="shared" si="8"/>
        <v>-0.11111111111111116</v>
      </c>
      <c r="M27" s="102">
        <v>9</v>
      </c>
      <c r="N27" s="8"/>
      <c r="O27" s="8"/>
    </row>
    <row r="28" spans="1:15" s="2" customFormat="1" ht="11.25">
      <c r="A28" s="101" t="s">
        <v>100</v>
      </c>
      <c r="B28" s="234">
        <v>12</v>
      </c>
      <c r="C28" s="304">
        <f t="shared" ref="C28" si="9">IF((+B28/D28)&lt;0,"n.m.",IF(B28&lt;0,(+B28/D28-1)*-1,(+B28/D28-1)))</f>
        <v>-0.625</v>
      </c>
      <c r="D28" s="234">
        <v>32</v>
      </c>
      <c r="E28" s="234">
        <v>14</v>
      </c>
      <c r="F28" s="304">
        <f t="shared" si="6"/>
        <v>-0.6216216216216216</v>
      </c>
      <c r="G28" s="234">
        <v>37</v>
      </c>
      <c r="H28" s="304">
        <f t="shared" si="7"/>
        <v>5.7142857142857162E-2</v>
      </c>
      <c r="I28" s="102">
        <v>35</v>
      </c>
      <c r="J28" s="304">
        <f t="shared" si="4"/>
        <v>0.2068965517241379</v>
      </c>
      <c r="K28" s="234">
        <v>29</v>
      </c>
      <c r="L28" s="270">
        <f t="shared" si="8"/>
        <v>0</v>
      </c>
      <c r="M28" s="102">
        <v>29</v>
      </c>
      <c r="N28" s="4"/>
      <c r="O28" s="4"/>
    </row>
    <row r="29" spans="1:15" s="6" customFormat="1" ht="11.25">
      <c r="A29" s="101" t="s">
        <v>101</v>
      </c>
      <c r="B29" s="234">
        <v>0</v>
      </c>
      <c r="C29" s="304"/>
      <c r="D29" s="234">
        <v>0</v>
      </c>
      <c r="E29" s="234">
        <v>0</v>
      </c>
      <c r="F29" s="304"/>
      <c r="G29" s="234">
        <v>0</v>
      </c>
      <c r="H29" s="304"/>
      <c r="I29" s="102">
        <v>0</v>
      </c>
      <c r="J29" s="304">
        <f t="shared" si="4"/>
        <v>-1</v>
      </c>
      <c r="K29" s="234">
        <v>1</v>
      </c>
      <c r="L29" s="270">
        <f t="shared" si="8"/>
        <v>0</v>
      </c>
      <c r="M29" s="102">
        <v>1</v>
      </c>
      <c r="N29" s="8"/>
      <c r="O29" s="8"/>
    </row>
    <row r="30" spans="1:15" s="6" customFormat="1" ht="11.25">
      <c r="A30" s="101" t="s">
        <v>102</v>
      </c>
      <c r="B30" s="234">
        <v>769</v>
      </c>
      <c r="C30" s="304">
        <f t="shared" ref="C30:C40" si="10">IF((+B30/D30)&lt;0,"n.m.",IF(B30&lt;0,(+B30/D30-1)*-1,(+B30/D30-1)))</f>
        <v>4.9113233287858105E-2</v>
      </c>
      <c r="D30" s="234">
        <v>733</v>
      </c>
      <c r="E30" s="234">
        <v>758</v>
      </c>
      <c r="F30" s="304">
        <f t="shared" si="6"/>
        <v>0.15372907153729076</v>
      </c>
      <c r="G30" s="234">
        <v>657</v>
      </c>
      <c r="H30" s="304">
        <f t="shared" si="7"/>
        <v>-2.8106508875739622E-2</v>
      </c>
      <c r="I30" s="102">
        <v>676</v>
      </c>
      <c r="J30" s="304">
        <f t="shared" si="4"/>
        <v>-2.5936599423631135E-2</v>
      </c>
      <c r="K30" s="234">
        <v>694</v>
      </c>
      <c r="L30" s="270">
        <f t="shared" si="8"/>
        <v>8.0996884735202501E-2</v>
      </c>
      <c r="M30" s="102">
        <v>642</v>
      </c>
      <c r="N30" s="8"/>
      <c r="O30" s="8"/>
    </row>
    <row r="31" spans="1:15" s="6" customFormat="1" ht="11.25">
      <c r="A31" s="101" t="s">
        <v>103</v>
      </c>
      <c r="B31" s="234">
        <v>4</v>
      </c>
      <c r="C31" s="304">
        <f t="shared" si="10"/>
        <v>-0.63636363636363635</v>
      </c>
      <c r="D31" s="234">
        <v>11</v>
      </c>
      <c r="E31" s="234">
        <v>11</v>
      </c>
      <c r="F31" s="304">
        <f t="shared" si="6"/>
        <v>0.375</v>
      </c>
      <c r="G31" s="234">
        <v>8</v>
      </c>
      <c r="H31" s="304">
        <f t="shared" si="7"/>
        <v>0.14285714285714279</v>
      </c>
      <c r="I31" s="102">
        <v>7</v>
      </c>
      <c r="J31" s="304">
        <f t="shared" si="4"/>
        <v>-0.70833333333333326</v>
      </c>
      <c r="K31" s="234">
        <v>24</v>
      </c>
      <c r="L31" s="270">
        <f t="shared" si="8"/>
        <v>-0.46666666666666667</v>
      </c>
      <c r="M31" s="102">
        <v>45</v>
      </c>
      <c r="N31" s="8"/>
      <c r="O31" s="8"/>
    </row>
    <row r="32" spans="1:15" s="6" customFormat="1" ht="11.25">
      <c r="A32" s="101" t="s">
        <v>104</v>
      </c>
      <c r="B32" s="234">
        <v>2</v>
      </c>
      <c r="C32" s="304">
        <f t="shared" si="10"/>
        <v>-0.33333333333333337</v>
      </c>
      <c r="D32" s="234">
        <v>3</v>
      </c>
      <c r="E32" s="234">
        <v>3</v>
      </c>
      <c r="F32" s="304">
        <f t="shared" si="6"/>
        <v>-0.25</v>
      </c>
      <c r="G32" s="234">
        <v>4</v>
      </c>
      <c r="H32" s="304"/>
      <c r="I32" s="102">
        <v>0</v>
      </c>
      <c r="J32" s="304">
        <f t="shared" si="4"/>
        <v>-1</v>
      </c>
      <c r="K32" s="234">
        <v>2</v>
      </c>
      <c r="L32" s="270">
        <f t="shared" si="8"/>
        <v>-0.5</v>
      </c>
      <c r="M32" s="102">
        <v>4</v>
      </c>
      <c r="N32" s="8"/>
      <c r="O32" s="8"/>
    </row>
    <row r="33" spans="1:15" s="6" customFormat="1" ht="11.25">
      <c r="A33" s="101" t="s">
        <v>105</v>
      </c>
      <c r="B33" s="236">
        <v>5</v>
      </c>
      <c r="C33" s="304">
        <f t="shared" si="10"/>
        <v>4</v>
      </c>
      <c r="D33" s="236">
        <v>1</v>
      </c>
      <c r="E33" s="236">
        <v>1</v>
      </c>
      <c r="F33" s="304">
        <f t="shared" si="6"/>
        <v>0</v>
      </c>
      <c r="G33" s="236">
        <v>1</v>
      </c>
      <c r="H33" s="304">
        <f t="shared" si="7"/>
        <v>-0.5</v>
      </c>
      <c r="I33" s="105">
        <v>2</v>
      </c>
      <c r="J33" s="304">
        <f t="shared" si="4"/>
        <v>-0.96491228070175439</v>
      </c>
      <c r="K33" s="236">
        <v>57</v>
      </c>
      <c r="L33" s="270">
        <f t="shared" si="8"/>
        <v>-0.21917808219178081</v>
      </c>
      <c r="M33" s="105">
        <v>73</v>
      </c>
      <c r="N33" s="8"/>
      <c r="O33" s="8"/>
    </row>
    <row r="34" spans="1:15" s="6" customFormat="1" ht="11.25">
      <c r="A34" s="101" t="s">
        <v>106</v>
      </c>
      <c r="B34" s="236">
        <v>4</v>
      </c>
      <c r="C34" s="304">
        <f t="shared" si="10"/>
        <v>-0.80952380952380953</v>
      </c>
      <c r="D34" s="236">
        <v>21</v>
      </c>
      <c r="E34" s="236">
        <v>18</v>
      </c>
      <c r="F34" s="304">
        <f t="shared" si="6"/>
        <v>-0.1428571428571429</v>
      </c>
      <c r="G34" s="236">
        <v>21</v>
      </c>
      <c r="H34" s="304">
        <f t="shared" si="7"/>
        <v>0.75</v>
      </c>
      <c r="I34" s="105">
        <v>12</v>
      </c>
      <c r="J34" s="304">
        <f t="shared" si="4"/>
        <v>1</v>
      </c>
      <c r="K34" s="236">
        <v>6</v>
      </c>
      <c r="L34" s="270">
        <f t="shared" si="8"/>
        <v>0.19999999999999996</v>
      </c>
      <c r="M34" s="105">
        <v>5</v>
      </c>
      <c r="N34" s="8"/>
      <c r="O34" s="8"/>
    </row>
    <row r="35" spans="1:15" s="6" customFormat="1" ht="11.25">
      <c r="A35" s="104" t="s">
        <v>86</v>
      </c>
      <c r="B35" s="236">
        <f>B13</f>
        <v>545</v>
      </c>
      <c r="C35" s="304">
        <f t="shared" si="10"/>
        <v>3.2196969696969724E-2</v>
      </c>
      <c r="D35" s="236">
        <f>D13</f>
        <v>528</v>
      </c>
      <c r="E35" s="236">
        <f>E13</f>
        <v>538</v>
      </c>
      <c r="F35" s="304">
        <f t="shared" ref="F35:F40" si="11">IF((+E35/G35)&lt;0,"n.m.",IF(E35&lt;0,(+E35/G35-1)*-1,(+E35/G35-1)))</f>
        <v>0.13983050847457634</v>
      </c>
      <c r="G35" s="236">
        <f>G13</f>
        <v>472</v>
      </c>
      <c r="H35" s="304">
        <f t="shared" si="7"/>
        <v>6.3063063063063085E-2</v>
      </c>
      <c r="I35" s="105">
        <f>I13</f>
        <v>444</v>
      </c>
      <c r="J35" s="304">
        <f t="shared" si="4"/>
        <v>-0.20572450805008946</v>
      </c>
      <c r="K35" s="236">
        <f>K13</f>
        <v>559</v>
      </c>
      <c r="L35" s="270">
        <f t="shared" si="8"/>
        <v>-3.7865748709122182E-2</v>
      </c>
      <c r="M35" s="105">
        <f>M13</f>
        <v>581</v>
      </c>
      <c r="N35" s="8"/>
      <c r="O35" s="8"/>
    </row>
    <row r="36" spans="1:15" s="6" customFormat="1" ht="11.25">
      <c r="A36" s="104" t="s">
        <v>87</v>
      </c>
      <c r="B36" s="236">
        <f>B14</f>
        <v>7277</v>
      </c>
      <c r="C36" s="304">
        <f t="shared" si="10"/>
        <v>1.9330438436755859E-2</v>
      </c>
      <c r="D36" s="236">
        <f>D14</f>
        <v>7139</v>
      </c>
      <c r="E36" s="236">
        <f>E14</f>
        <v>7708</v>
      </c>
      <c r="F36" s="304">
        <f t="shared" si="11"/>
        <v>6.5671229088898109E-2</v>
      </c>
      <c r="G36" s="236">
        <f>G14</f>
        <v>7233</v>
      </c>
      <c r="H36" s="304">
        <f t="shared" si="7"/>
        <v>5.2685198661039045E-2</v>
      </c>
      <c r="I36" s="105">
        <f>I14</f>
        <v>6871</v>
      </c>
      <c r="J36" s="304">
        <f t="shared" si="4"/>
        <v>1.6871392629865367E-2</v>
      </c>
      <c r="K36" s="236">
        <f>K14</f>
        <v>6757</v>
      </c>
      <c r="L36" s="270">
        <f t="shared" si="8"/>
        <v>-1.0253405595429865E-2</v>
      </c>
      <c r="M36" s="105">
        <f>M14</f>
        <v>6827</v>
      </c>
      <c r="N36" s="8"/>
      <c r="O36" s="8"/>
    </row>
    <row r="37" spans="1:15" s="2" customFormat="1" ht="11.25">
      <c r="A37" s="104" t="s">
        <v>107</v>
      </c>
      <c r="B37" s="236">
        <f>B15+B16+B17+B18+B19+B20+B21+B22+B23+B24</f>
        <v>10418</v>
      </c>
      <c r="C37" s="304">
        <f t="shared" si="10"/>
        <v>6.7855678556785648E-2</v>
      </c>
      <c r="D37" s="236">
        <f>D15+D16+D17+D18+D19+D20+D21+D22+D23+D24</f>
        <v>9756</v>
      </c>
      <c r="E37" s="236">
        <f>E15+E16+E17+E18+E19+E20+E21+E22+E23+E24</f>
        <v>10088</v>
      </c>
      <c r="F37" s="304">
        <f t="shared" si="11"/>
        <v>5.9775186469166908E-2</v>
      </c>
      <c r="G37" s="236">
        <f>G15+G16+G17+G18+G19+G20+G21+G22+G23+G24</f>
        <v>9519</v>
      </c>
      <c r="H37" s="304">
        <f t="shared" si="7"/>
        <v>5.3686074828426023E-2</v>
      </c>
      <c r="I37" s="105">
        <f>I15+I16+I17+I18+I19+I20+I21+I22+I23+I24</f>
        <v>9034</v>
      </c>
      <c r="J37" s="304">
        <f t="shared" si="4"/>
        <v>4.1623429032630055E-2</v>
      </c>
      <c r="K37" s="236">
        <f>K15+K16+K17+K18+K19+K20+K21+K22+K23+K24</f>
        <v>8673</v>
      </c>
      <c r="L37" s="270">
        <f t="shared" si="8"/>
        <v>-1.5326975476839255E-2</v>
      </c>
      <c r="M37" s="105">
        <f>M15+M16+M17+M18+M19+M20+M21+M22+M23+M24</f>
        <v>8808</v>
      </c>
      <c r="N37" s="4"/>
      <c r="O37" s="4"/>
    </row>
    <row r="38" spans="1:15" s="2" customFormat="1" ht="11.25">
      <c r="A38" s="104" t="s">
        <v>108</v>
      </c>
      <c r="B38" s="236">
        <f>B25+B26+B27+B28+B29+B30</f>
        <v>1446</v>
      </c>
      <c r="C38" s="304">
        <f t="shared" si="10"/>
        <v>-2.363268062120194E-2</v>
      </c>
      <c r="D38" s="236">
        <f>D25+D26+D27+D28+D29+D30</f>
        <v>1481</v>
      </c>
      <c r="E38" s="236">
        <f>E25+E26+E27+E28+E29+E30</f>
        <v>1483</v>
      </c>
      <c r="F38" s="304">
        <f t="shared" si="11"/>
        <v>8.1577158395649274E-3</v>
      </c>
      <c r="G38" s="236">
        <f>G25+G26+G27+G28+G29+G30</f>
        <v>1471</v>
      </c>
      <c r="H38" s="304">
        <f t="shared" si="7"/>
        <v>-4.85122897800776E-2</v>
      </c>
      <c r="I38" s="105">
        <f>I25+I26+I27+I28+I29+I30</f>
        <v>1546</v>
      </c>
      <c r="J38" s="304">
        <f t="shared" si="4"/>
        <v>-7.9761904761904812E-2</v>
      </c>
      <c r="K38" s="236">
        <f>K25+K26+K27+K28+K29+K30</f>
        <v>1680</v>
      </c>
      <c r="L38" s="270">
        <f t="shared" si="8"/>
        <v>-1.1764705882352899E-2</v>
      </c>
      <c r="M38" s="105">
        <f>M25+M26+M27+M28+M29+M30</f>
        <v>1700</v>
      </c>
      <c r="N38" s="4"/>
      <c r="O38" s="4"/>
    </row>
    <row r="39" spans="1:15" s="6" customFormat="1" ht="11.25">
      <c r="A39" s="104" t="s">
        <v>109</v>
      </c>
      <c r="B39" s="236">
        <f>B31+B32+B33+B34</f>
        <v>15</v>
      </c>
      <c r="C39" s="304">
        <f t="shared" si="10"/>
        <v>-0.58333333333333326</v>
      </c>
      <c r="D39" s="236">
        <f>D31+D32+D33+D34</f>
        <v>36</v>
      </c>
      <c r="E39" s="236">
        <f>E31+E32+E33+E34</f>
        <v>33</v>
      </c>
      <c r="F39" s="304">
        <f t="shared" si="11"/>
        <v>-2.9411764705882359E-2</v>
      </c>
      <c r="G39" s="236">
        <f>G31+G32+G33+G34</f>
        <v>34</v>
      </c>
      <c r="H39" s="304">
        <f t="shared" si="7"/>
        <v>0.61904761904761907</v>
      </c>
      <c r="I39" s="105">
        <f>I31+I32+I33+I34</f>
        <v>21</v>
      </c>
      <c r="J39" s="304">
        <f t="shared" si="4"/>
        <v>-0.7640449438202247</v>
      </c>
      <c r="K39" s="236">
        <f>K31+K32+K33+K34</f>
        <v>89</v>
      </c>
      <c r="L39" s="270">
        <f t="shared" si="8"/>
        <v>-0.29921259842519687</v>
      </c>
      <c r="M39" s="105">
        <f>M31+M32+M33+M34</f>
        <v>127</v>
      </c>
      <c r="N39" s="8"/>
      <c r="O39" s="8"/>
    </row>
    <row r="40" spans="1:15" s="2" customFormat="1" ht="11.25">
      <c r="A40" s="99" t="s">
        <v>110</v>
      </c>
      <c r="B40" s="237">
        <f>SUM(B35:B39)</f>
        <v>19701</v>
      </c>
      <c r="C40" s="303">
        <f t="shared" si="10"/>
        <v>4.0179514255543891E-2</v>
      </c>
      <c r="D40" s="237">
        <f>SUM(D35:D39)</f>
        <v>18940</v>
      </c>
      <c r="E40" s="237">
        <f>SUM(E35:E39)</f>
        <v>19850</v>
      </c>
      <c r="F40" s="303">
        <f t="shared" si="11"/>
        <v>5.9853702813818188E-2</v>
      </c>
      <c r="G40" s="237">
        <f>SUM(G35:G39)</f>
        <v>18729</v>
      </c>
      <c r="H40" s="303">
        <f t="shared" si="7"/>
        <v>4.5378432685867276E-2</v>
      </c>
      <c r="I40" s="147">
        <f>SUM(I35:I39)</f>
        <v>17916</v>
      </c>
      <c r="J40" s="303">
        <f t="shared" si="4"/>
        <v>8.8973983556706049E-3</v>
      </c>
      <c r="K40" s="237">
        <f>SUM(K35:K39)</f>
        <v>17758</v>
      </c>
      <c r="L40" s="279">
        <f>IF((+K40/M40)&lt;0,"n.m.",IF(K40&lt;0,(+K40/M40-1)*-1,(+K40/M40-1)))</f>
        <v>-1.5795599401429938E-2</v>
      </c>
      <c r="M40" s="147">
        <f>SUM(M35:M39)</f>
        <v>18043</v>
      </c>
      <c r="N40" s="4"/>
      <c r="O40" s="4"/>
    </row>
    <row r="41" spans="1:15" s="47" customFormat="1" ht="11.25">
      <c r="A41" s="106" t="s">
        <v>120</v>
      </c>
      <c r="B41" s="238">
        <f>B40/Group!B155</f>
        <v>0.26589556368347889</v>
      </c>
      <c r="C41" s="304"/>
      <c r="D41" s="238">
        <f>D40/Group!D155</f>
        <v>0.24713588559200397</v>
      </c>
      <c r="E41" s="238">
        <f>E40/Group!E155</f>
        <v>0.25806367737490088</v>
      </c>
      <c r="F41" s="304"/>
      <c r="G41" s="238">
        <f>G40/Group!G155</f>
        <v>0.24819772064670023</v>
      </c>
      <c r="H41" s="304"/>
      <c r="I41" s="148">
        <f>I40/Group!I155</f>
        <v>0.24574783276637771</v>
      </c>
      <c r="J41" s="304"/>
      <c r="K41" s="238">
        <f>K40/Group!K155</f>
        <v>0.24719163685463327</v>
      </c>
      <c r="L41" s="148"/>
      <c r="M41" s="148">
        <f>M40/Group!M155</f>
        <v>0.24610243469958398</v>
      </c>
      <c r="N41" s="46"/>
      <c r="O41" s="46"/>
    </row>
    <row r="42" spans="1:15" ht="12" customHeight="1">
      <c r="A42" s="95"/>
      <c r="B42" s="459"/>
      <c r="C42" s="456"/>
      <c r="D42" s="459"/>
      <c r="E42" s="98"/>
      <c r="F42" s="304"/>
      <c r="G42" s="98"/>
      <c r="H42" s="304"/>
      <c r="I42" s="98"/>
      <c r="J42" s="304"/>
      <c r="K42" s="98"/>
      <c r="L42" s="98"/>
      <c r="M42" s="98"/>
    </row>
    <row r="43" spans="1:15" s="94" customFormat="1" ht="12" customHeight="1">
      <c r="A43" s="99" t="s">
        <v>1</v>
      </c>
      <c r="B43" s="458"/>
      <c r="C43" s="456"/>
      <c r="D43" s="458"/>
      <c r="E43" s="100"/>
      <c r="F43" s="304"/>
      <c r="G43" s="100"/>
      <c r="H43" s="304"/>
      <c r="I43" s="100"/>
      <c r="J43" s="304"/>
      <c r="K43" s="100"/>
      <c r="L43" s="100"/>
      <c r="M43" s="100"/>
    </row>
    <row r="44" spans="1:15" s="2" customFormat="1" ht="11.25">
      <c r="A44" s="101" t="s">
        <v>86</v>
      </c>
      <c r="B44" s="245">
        <v>76.25</v>
      </c>
      <c r="C44" s="304">
        <f t="shared" ref="C44:C57" si="12">IF((+B44/D44)&lt;0,"n.m.",IF(B44&lt;0,(+B44/D44-1)*-1,(+B44/D44-1)))</f>
        <v>0.23983739837398366</v>
      </c>
      <c r="D44" s="245">
        <v>61.5</v>
      </c>
      <c r="E44" s="245">
        <v>150.62</v>
      </c>
      <c r="F44" s="304">
        <f t="shared" ref="F44:F62" si="13">IF((+E44/G44)&lt;0,"n.m.",IF(E44&lt;0,(+E44/G44-1)*-1,(+E44/G44-1)))</f>
        <v>3.6827975493907816E-2</v>
      </c>
      <c r="G44" s="245">
        <v>145.27000000000001</v>
      </c>
      <c r="H44" s="304">
        <f t="shared" ref="H44:H101" si="14">IF((+G44/I44)&lt;0,"n.m.",IF(G44&lt;0,(+G44/I44-1)*-1,(+G44/I44-1)))</f>
        <v>0.18995740498034097</v>
      </c>
      <c r="I44" s="107">
        <v>122.08</v>
      </c>
      <c r="J44" s="304">
        <f t="shared" si="4"/>
        <v>-3.5474441020779013E-2</v>
      </c>
      <c r="K44" s="240">
        <v>126.57</v>
      </c>
      <c r="L44" s="270">
        <f t="shared" ref="L44:L70" si="15">IF((+K44/M44)&lt;0,"n.m.",IF(K44&lt;0,(+K44/M44-1)*-1,(+K44/M44-1)))</f>
        <v>-1.7389954196102897E-2</v>
      </c>
      <c r="M44" s="107">
        <v>128.81</v>
      </c>
      <c r="N44" s="4"/>
      <c r="O44" s="4"/>
    </row>
    <row r="45" spans="1:15" s="2" customFormat="1" ht="11.25">
      <c r="A45" s="101" t="s">
        <v>87</v>
      </c>
      <c r="B45" s="245">
        <v>801.28</v>
      </c>
      <c r="C45" s="304">
        <f t="shared" si="12"/>
        <v>-0.14544717701512277</v>
      </c>
      <c r="D45" s="245">
        <v>937.66</v>
      </c>
      <c r="E45" s="245">
        <v>2175.7199999999998</v>
      </c>
      <c r="F45" s="304">
        <f t="shared" si="13"/>
        <v>9.9614883100342722E-2</v>
      </c>
      <c r="G45" s="245">
        <v>1978.62</v>
      </c>
      <c r="H45" s="304">
        <f t="shared" si="14"/>
        <v>0.11494162196276414</v>
      </c>
      <c r="I45" s="107">
        <v>1774.64</v>
      </c>
      <c r="J45" s="304">
        <f t="shared" si="4"/>
        <v>7.0918219561649121E-2</v>
      </c>
      <c r="K45" s="240">
        <v>1657.1200000000001</v>
      </c>
      <c r="L45" s="270">
        <f t="shared" si="15"/>
        <v>3.5984895846357778E-2</v>
      </c>
      <c r="M45" s="107">
        <v>1599.56</v>
      </c>
      <c r="N45" s="4"/>
      <c r="O45" s="4"/>
    </row>
    <row r="46" spans="1:15" s="2" customFormat="1" ht="11.25">
      <c r="A46" s="101" t="s">
        <v>88</v>
      </c>
      <c r="B46" s="245">
        <v>0.01</v>
      </c>
      <c r="C46" s="304">
        <f t="shared" si="12"/>
        <v>0</v>
      </c>
      <c r="D46" s="245">
        <v>0.01</v>
      </c>
      <c r="E46" s="245">
        <v>3.11</v>
      </c>
      <c r="F46" s="304">
        <f t="shared" si="13"/>
        <v>16.277777777777779</v>
      </c>
      <c r="G46" s="245">
        <v>0.18</v>
      </c>
      <c r="H46" s="304">
        <f t="shared" si="14"/>
        <v>2.5999999999999996</v>
      </c>
      <c r="I46" s="107">
        <v>0.05</v>
      </c>
      <c r="J46" s="304">
        <f t="shared" si="4"/>
        <v>-0.99348958333333337</v>
      </c>
      <c r="K46" s="240">
        <v>7.68</v>
      </c>
      <c r="L46" s="270">
        <f t="shared" si="15"/>
        <v>-0.57118927973199329</v>
      </c>
      <c r="M46" s="107">
        <v>17.91</v>
      </c>
      <c r="N46" s="4"/>
      <c r="O46" s="4"/>
    </row>
    <row r="47" spans="1:15" s="2" customFormat="1" ht="11.25">
      <c r="A47" s="101" t="s">
        <v>89</v>
      </c>
      <c r="B47" s="245">
        <v>250.98</v>
      </c>
      <c r="C47" s="304">
        <f t="shared" si="12"/>
        <v>0.14087003954725197</v>
      </c>
      <c r="D47" s="245">
        <v>219.99</v>
      </c>
      <c r="E47" s="245">
        <v>635.72</v>
      </c>
      <c r="F47" s="304">
        <f t="shared" si="13"/>
        <v>0.14065275510020991</v>
      </c>
      <c r="G47" s="245">
        <v>557.33000000000004</v>
      </c>
      <c r="H47" s="304">
        <f t="shared" si="14"/>
        <v>0.10196535906358761</v>
      </c>
      <c r="I47" s="107">
        <v>505.76</v>
      </c>
      <c r="J47" s="304">
        <f t="shared" si="4"/>
        <v>-2.9381848887865436E-2</v>
      </c>
      <c r="K47" s="240">
        <v>521.07000000000005</v>
      </c>
      <c r="L47" s="270">
        <f t="shared" si="15"/>
        <v>-0.18991651508791563</v>
      </c>
      <c r="M47" s="107">
        <v>643.23</v>
      </c>
      <c r="N47" s="4"/>
      <c r="O47" s="4"/>
    </row>
    <row r="48" spans="1:15" s="6" customFormat="1" ht="11.25">
      <c r="A48" s="101" t="s">
        <v>90</v>
      </c>
      <c r="B48" s="245">
        <v>253.1</v>
      </c>
      <c r="C48" s="304">
        <f t="shared" si="12"/>
        <v>-0.11540612330490707</v>
      </c>
      <c r="D48" s="245">
        <v>286.12</v>
      </c>
      <c r="E48" s="245">
        <v>677.29</v>
      </c>
      <c r="F48" s="304">
        <f t="shared" si="13"/>
        <v>0.24314452479718063</v>
      </c>
      <c r="G48" s="245">
        <v>544.82000000000005</v>
      </c>
      <c r="H48" s="304">
        <f t="shared" si="14"/>
        <v>0.34849759912875622</v>
      </c>
      <c r="I48" s="107">
        <v>404.02</v>
      </c>
      <c r="J48" s="304">
        <f t="shared" si="4"/>
        <v>0.25811976458132224</v>
      </c>
      <c r="K48" s="240">
        <v>321.13</v>
      </c>
      <c r="L48" s="270">
        <f t="shared" si="15"/>
        <v>-0.31132318250053614</v>
      </c>
      <c r="M48" s="107">
        <v>466.3</v>
      </c>
      <c r="N48" s="8"/>
      <c r="O48" s="8"/>
    </row>
    <row r="49" spans="1:15" s="6" customFormat="1" ht="11.25">
      <c r="A49" s="101" t="s">
        <v>132</v>
      </c>
      <c r="B49" s="245">
        <v>26.32</v>
      </c>
      <c r="C49" s="304">
        <f t="shared" si="12"/>
        <v>-0.3037037037037037</v>
      </c>
      <c r="D49" s="245">
        <v>37.799999999999997</v>
      </c>
      <c r="E49" s="245">
        <v>67.66</v>
      </c>
      <c r="F49" s="304">
        <f t="shared" si="13"/>
        <v>-3.5907666001710026E-2</v>
      </c>
      <c r="G49" s="245">
        <v>70.180000000000007</v>
      </c>
      <c r="H49" s="304">
        <f t="shared" si="14"/>
        <v>-0.12624501992031856</v>
      </c>
      <c r="I49" s="107">
        <v>80.319999999999993</v>
      </c>
      <c r="J49" s="304">
        <f t="shared" si="4"/>
        <v>-2.6896050399806359E-2</v>
      </c>
      <c r="K49" s="240">
        <v>82.54</v>
      </c>
      <c r="L49" s="270">
        <f t="shared" si="15"/>
        <v>-0.52755995649934173</v>
      </c>
      <c r="M49" s="107">
        <v>174.71</v>
      </c>
      <c r="N49" s="8"/>
      <c r="O49" s="8"/>
    </row>
    <row r="50" spans="1:15" s="6" customFormat="1" ht="11.25">
      <c r="A50" s="101" t="s">
        <v>91</v>
      </c>
      <c r="B50" s="245">
        <v>111</v>
      </c>
      <c r="C50" s="304">
        <f t="shared" si="12"/>
        <v>-0.25613188580619217</v>
      </c>
      <c r="D50" s="245">
        <v>149.22</v>
      </c>
      <c r="E50" s="245">
        <v>318.43</v>
      </c>
      <c r="F50" s="304">
        <f t="shared" si="13"/>
        <v>-0.30797148693875775</v>
      </c>
      <c r="G50" s="245">
        <v>460.14</v>
      </c>
      <c r="H50" s="304">
        <f t="shared" si="14"/>
        <v>-1.3760288065843618E-2</v>
      </c>
      <c r="I50" s="107">
        <v>466.56</v>
      </c>
      <c r="J50" s="304">
        <f t="shared" si="4"/>
        <v>0.10972099992864437</v>
      </c>
      <c r="K50" s="240">
        <v>420.43</v>
      </c>
      <c r="L50" s="270">
        <f t="shared" si="15"/>
        <v>-0.36876163593778144</v>
      </c>
      <c r="M50" s="107">
        <v>666.04</v>
      </c>
      <c r="N50" s="8"/>
      <c r="O50" s="8"/>
    </row>
    <row r="51" spans="1:15" s="6" customFormat="1" ht="11.25">
      <c r="A51" s="101" t="s">
        <v>92</v>
      </c>
      <c r="B51" s="245">
        <v>63.9</v>
      </c>
      <c r="C51" s="304">
        <f t="shared" si="12"/>
        <v>3.9700618288317502E-2</v>
      </c>
      <c r="D51" s="245">
        <v>61.46</v>
      </c>
      <c r="E51" s="245">
        <v>178.57</v>
      </c>
      <c r="F51" s="304">
        <f t="shared" si="13"/>
        <v>0.14534026040664494</v>
      </c>
      <c r="G51" s="245">
        <v>155.91</v>
      </c>
      <c r="H51" s="304">
        <f t="shared" si="14"/>
        <v>5.5299851089752217E-2</v>
      </c>
      <c r="I51" s="107">
        <v>147.74</v>
      </c>
      <c r="J51" s="304">
        <f t="shared" si="4"/>
        <v>-0.33233911785972525</v>
      </c>
      <c r="K51" s="240">
        <v>221.28</v>
      </c>
      <c r="L51" s="270">
        <f t="shared" si="15"/>
        <v>8.8869205786832106E-2</v>
      </c>
      <c r="M51" s="107">
        <v>203.22</v>
      </c>
      <c r="N51" s="8"/>
      <c r="O51" s="8"/>
    </row>
    <row r="52" spans="1:15" s="6" customFormat="1" ht="11.25">
      <c r="A52" s="101" t="s">
        <v>93</v>
      </c>
      <c r="B52" s="245">
        <v>69.91</v>
      </c>
      <c r="C52" s="304">
        <f t="shared" si="12"/>
        <v>0.11623822449305443</v>
      </c>
      <c r="D52" s="245">
        <v>62.63</v>
      </c>
      <c r="E52" s="245">
        <v>131.21</v>
      </c>
      <c r="F52" s="304">
        <f t="shared" si="13"/>
        <v>-0.11230633921926791</v>
      </c>
      <c r="G52" s="245">
        <v>147.81</v>
      </c>
      <c r="H52" s="304">
        <f t="shared" si="14"/>
        <v>0.37779642058165552</v>
      </c>
      <c r="I52" s="107">
        <v>107.28</v>
      </c>
      <c r="J52" s="304">
        <f t="shared" si="4"/>
        <v>0.61032722906034209</v>
      </c>
      <c r="K52" s="240">
        <v>66.62</v>
      </c>
      <c r="L52" s="270">
        <f t="shared" si="15"/>
        <v>0.20122610890732062</v>
      </c>
      <c r="M52" s="107">
        <v>55.46</v>
      </c>
      <c r="N52" s="8"/>
      <c r="O52" s="8"/>
    </row>
    <row r="53" spans="1:15" s="6" customFormat="1" ht="11.25">
      <c r="A53" s="101" t="s">
        <v>94</v>
      </c>
      <c r="B53" s="245">
        <v>9.99</v>
      </c>
      <c r="C53" s="304">
        <f t="shared" si="12"/>
        <v>-0.48103896103896104</v>
      </c>
      <c r="D53" s="245">
        <v>19.25</v>
      </c>
      <c r="E53" s="245">
        <v>42.15</v>
      </c>
      <c r="F53" s="304">
        <f t="shared" si="13"/>
        <v>-0.30388109000825758</v>
      </c>
      <c r="G53" s="245">
        <v>60.55</v>
      </c>
      <c r="H53" s="304">
        <f t="shared" si="14"/>
        <v>0.3357599823516435</v>
      </c>
      <c r="I53" s="107">
        <v>45.33</v>
      </c>
      <c r="J53" s="304">
        <f t="shared" si="4"/>
        <v>-9.5751047277079726E-2</v>
      </c>
      <c r="K53" s="240">
        <v>50.13</v>
      </c>
      <c r="L53" s="270">
        <f t="shared" si="15"/>
        <v>-0.43496393146979262</v>
      </c>
      <c r="M53" s="107">
        <v>88.72</v>
      </c>
      <c r="N53" s="8"/>
      <c r="O53" s="8"/>
    </row>
    <row r="54" spans="1:15" s="6" customFormat="1" ht="11.25">
      <c r="A54" s="101" t="s">
        <v>95</v>
      </c>
      <c r="B54" s="245">
        <v>67.84</v>
      </c>
      <c r="C54" s="304">
        <f t="shared" si="12"/>
        <v>0.27207950496906075</v>
      </c>
      <c r="D54" s="245">
        <v>53.33</v>
      </c>
      <c r="E54" s="245">
        <v>146.13</v>
      </c>
      <c r="F54" s="304">
        <f t="shared" si="13"/>
        <v>0.34125745754933456</v>
      </c>
      <c r="G54" s="245">
        <v>108.95</v>
      </c>
      <c r="H54" s="304">
        <f t="shared" si="14"/>
        <v>-2.3220369374215566E-2</v>
      </c>
      <c r="I54" s="107">
        <v>111.54</v>
      </c>
      <c r="J54" s="304">
        <f t="shared" si="4"/>
        <v>0.31161806208842902</v>
      </c>
      <c r="K54" s="240">
        <v>85.04</v>
      </c>
      <c r="L54" s="270">
        <f t="shared" si="15"/>
        <v>0.9808991381318426</v>
      </c>
      <c r="M54" s="107">
        <v>42.93</v>
      </c>
      <c r="N54" s="8"/>
      <c r="O54" s="8"/>
    </row>
    <row r="55" spans="1:15" s="6" customFormat="1" ht="11.25">
      <c r="A55" s="101" t="s">
        <v>96</v>
      </c>
      <c r="B55" s="245">
        <v>19.239999999999998</v>
      </c>
      <c r="C55" s="304">
        <f t="shared" si="12"/>
        <v>0.29388029589778064</v>
      </c>
      <c r="D55" s="245">
        <v>14.87</v>
      </c>
      <c r="E55" s="245">
        <v>35.9</v>
      </c>
      <c r="F55" s="304">
        <f t="shared" si="13"/>
        <v>-1.7515051997810671E-2</v>
      </c>
      <c r="G55" s="245">
        <v>36.54</v>
      </c>
      <c r="H55" s="304">
        <f t="shared" si="14"/>
        <v>-0.10243183492999264</v>
      </c>
      <c r="I55" s="107">
        <v>40.71</v>
      </c>
      <c r="J55" s="304">
        <f t="shared" si="4"/>
        <v>0.75853131749460068</v>
      </c>
      <c r="K55" s="240">
        <v>23.15</v>
      </c>
      <c r="L55" s="270">
        <f t="shared" si="15"/>
        <v>-0.26694110196326792</v>
      </c>
      <c r="M55" s="107">
        <v>31.58</v>
      </c>
      <c r="N55" s="8"/>
      <c r="O55" s="8"/>
    </row>
    <row r="56" spans="1:15" s="6" customFormat="1" ht="11.25">
      <c r="A56" s="101" t="s">
        <v>97</v>
      </c>
      <c r="B56" s="245">
        <v>90.5</v>
      </c>
      <c r="C56" s="304">
        <f t="shared" si="12"/>
        <v>1.605478836869878E-2</v>
      </c>
      <c r="D56" s="245">
        <v>89.07</v>
      </c>
      <c r="E56" s="245">
        <v>205.11</v>
      </c>
      <c r="F56" s="304">
        <f t="shared" si="13"/>
        <v>-0.12793367346938767</v>
      </c>
      <c r="G56" s="245">
        <v>235.2</v>
      </c>
      <c r="H56" s="304">
        <f t="shared" si="14"/>
        <v>-0.11794487155447209</v>
      </c>
      <c r="I56" s="107">
        <v>266.64999999999998</v>
      </c>
      <c r="J56" s="304">
        <f t="shared" si="4"/>
        <v>-0.11941481457019265</v>
      </c>
      <c r="K56" s="240">
        <v>302.81</v>
      </c>
      <c r="L56" s="270">
        <f t="shared" si="15"/>
        <v>8.3747897355141099E-2</v>
      </c>
      <c r="M56" s="107">
        <v>279.41000000000003</v>
      </c>
      <c r="N56" s="8"/>
      <c r="O56" s="8"/>
    </row>
    <row r="57" spans="1:15" s="6" customFormat="1" ht="11.25">
      <c r="A57" s="101" t="s">
        <v>98</v>
      </c>
      <c r="B57" s="108">
        <v>1.56</v>
      </c>
      <c r="C57" s="304">
        <f t="shared" si="12"/>
        <v>3.3112582781456901E-2</v>
      </c>
      <c r="D57" s="108">
        <v>1.51</v>
      </c>
      <c r="E57" s="108">
        <v>2.5</v>
      </c>
      <c r="F57" s="304">
        <f t="shared" si="13"/>
        <v>-0.68982630272952861</v>
      </c>
      <c r="G57" s="108">
        <v>8.06</v>
      </c>
      <c r="H57" s="304">
        <f t="shared" si="14"/>
        <v>0.24191063174114036</v>
      </c>
      <c r="I57" s="108">
        <v>6.49</v>
      </c>
      <c r="J57" s="304">
        <f t="shared" si="4"/>
        <v>3.3851351351351351</v>
      </c>
      <c r="K57" s="241">
        <v>1.48</v>
      </c>
      <c r="L57" s="270">
        <f t="shared" si="15"/>
        <v>0.21311475409836067</v>
      </c>
      <c r="M57" s="108">
        <v>1.22</v>
      </c>
      <c r="N57" s="8"/>
      <c r="O57" s="8"/>
    </row>
    <row r="58" spans="1:15" s="6" customFormat="1" ht="11.25">
      <c r="A58" s="101" t="s">
        <v>99</v>
      </c>
      <c r="B58" s="245">
        <v>0</v>
      </c>
      <c r="C58" s="304"/>
      <c r="D58" s="245">
        <v>0</v>
      </c>
      <c r="E58" s="245">
        <v>0</v>
      </c>
      <c r="F58" s="304"/>
      <c r="G58" s="245">
        <v>0</v>
      </c>
      <c r="H58" s="304"/>
      <c r="I58" s="107">
        <v>0</v>
      </c>
      <c r="J58" s="304">
        <f t="shared" si="4"/>
        <v>-1</v>
      </c>
      <c r="K58" s="240">
        <v>4.6100000000000003</v>
      </c>
      <c r="L58" s="270">
        <f t="shared" si="15"/>
        <v>45.1</v>
      </c>
      <c r="M58" s="107">
        <v>0.1</v>
      </c>
      <c r="N58" s="8"/>
      <c r="O58" s="8"/>
    </row>
    <row r="59" spans="1:15" s="2" customFormat="1" ht="11.25">
      <c r="A59" s="101" t="s">
        <v>100</v>
      </c>
      <c r="B59" s="245">
        <v>1.67</v>
      </c>
      <c r="C59" s="304">
        <f t="shared" ref="C59:C71" si="16">IF((+B59/D59)&lt;0,"n.m.",IF(B59&lt;0,(+B59/D59-1)*-1,(+B59/D59-1)))</f>
        <v>-0.52011494252873569</v>
      </c>
      <c r="D59" s="245">
        <v>3.4800000000000004</v>
      </c>
      <c r="E59" s="245">
        <v>4.6900000000000004</v>
      </c>
      <c r="F59" s="304">
        <f t="shared" si="13"/>
        <v>-0.56654343807763397</v>
      </c>
      <c r="G59" s="245">
        <v>10.82</v>
      </c>
      <c r="H59" s="304">
        <f t="shared" si="14"/>
        <v>0.31310679611650483</v>
      </c>
      <c r="I59" s="107">
        <v>8.24</v>
      </c>
      <c r="J59" s="304">
        <f t="shared" si="4"/>
        <v>0.47670250896057342</v>
      </c>
      <c r="K59" s="240">
        <v>5.58</v>
      </c>
      <c r="L59" s="270">
        <f t="shared" si="15"/>
        <v>-0.10576923076923084</v>
      </c>
      <c r="M59" s="107">
        <v>6.24</v>
      </c>
      <c r="N59" s="4"/>
      <c r="O59" s="4"/>
    </row>
    <row r="60" spans="1:15" s="6" customFormat="1" ht="11.25">
      <c r="A60" s="101" t="s">
        <v>101</v>
      </c>
      <c r="B60" s="245">
        <v>0.06</v>
      </c>
      <c r="C60" s="304">
        <f t="shared" si="16"/>
        <v>0.5</v>
      </c>
      <c r="D60" s="245">
        <v>0.04</v>
      </c>
      <c r="E60" s="245">
        <v>0.09</v>
      </c>
      <c r="F60" s="304">
        <f t="shared" si="13"/>
        <v>1.25</v>
      </c>
      <c r="G60" s="245">
        <v>0.04</v>
      </c>
      <c r="H60" s="304"/>
      <c r="I60" s="107">
        <v>0</v>
      </c>
      <c r="J60" s="304">
        <f t="shared" si="4"/>
        <v>-1</v>
      </c>
      <c r="K60" s="240">
        <v>1.24</v>
      </c>
      <c r="L60" s="270">
        <f t="shared" si="15"/>
        <v>40.333333333333336</v>
      </c>
      <c r="M60" s="107">
        <v>0.03</v>
      </c>
      <c r="N60" s="8"/>
      <c r="O60" s="8"/>
    </row>
    <row r="61" spans="1:15" s="6" customFormat="1" ht="11.25">
      <c r="A61" s="101" t="s">
        <v>102</v>
      </c>
      <c r="B61" s="245">
        <v>42.13</v>
      </c>
      <c r="C61" s="304">
        <f t="shared" si="16"/>
        <v>-0.31002292826727795</v>
      </c>
      <c r="D61" s="245">
        <v>61.059999999999995</v>
      </c>
      <c r="E61" s="245">
        <v>121.05</v>
      </c>
      <c r="F61" s="304">
        <f t="shared" si="13"/>
        <v>0.22063123928607431</v>
      </c>
      <c r="G61" s="245">
        <v>99.17</v>
      </c>
      <c r="H61" s="304">
        <f t="shared" si="14"/>
        <v>-0.31588024282560712</v>
      </c>
      <c r="I61" s="107">
        <v>144.96</v>
      </c>
      <c r="J61" s="304">
        <f t="shared" si="4"/>
        <v>0.58218729535036018</v>
      </c>
      <c r="K61" s="240">
        <v>91.62</v>
      </c>
      <c r="L61" s="270">
        <f t="shared" si="15"/>
        <v>-9.043978953638443E-2</v>
      </c>
      <c r="M61" s="107">
        <v>100.73</v>
      </c>
      <c r="N61" s="8"/>
      <c r="O61" s="8"/>
    </row>
    <row r="62" spans="1:15" s="6" customFormat="1" ht="11.25">
      <c r="A62" s="101" t="s">
        <v>103</v>
      </c>
      <c r="B62" s="245">
        <v>4.79</v>
      </c>
      <c r="C62" s="304">
        <f t="shared" si="16"/>
        <v>19.826086956521738</v>
      </c>
      <c r="D62" s="245">
        <v>0.23</v>
      </c>
      <c r="E62" s="245">
        <v>1.56</v>
      </c>
      <c r="F62" s="304">
        <f t="shared" si="13"/>
        <v>155</v>
      </c>
      <c r="G62" s="245">
        <v>0.01</v>
      </c>
      <c r="H62" s="304">
        <f t="shared" si="14"/>
        <v>-0.98780487804878048</v>
      </c>
      <c r="I62" s="107">
        <v>0.82000000000000006</v>
      </c>
      <c r="J62" s="304">
        <f t="shared" si="4"/>
        <v>-0.10869565217391297</v>
      </c>
      <c r="K62" s="240">
        <v>0.92</v>
      </c>
      <c r="L62" s="270">
        <f t="shared" si="15"/>
        <v>-0.92767295597484278</v>
      </c>
      <c r="M62" s="107">
        <v>12.72</v>
      </c>
      <c r="N62" s="8"/>
      <c r="O62" s="8"/>
    </row>
    <row r="63" spans="1:15" s="6" customFormat="1" ht="11.25">
      <c r="A63" s="101" t="s">
        <v>104</v>
      </c>
      <c r="B63" s="245">
        <v>0.15</v>
      </c>
      <c r="C63" s="304">
        <f t="shared" si="16"/>
        <v>-0.77611940298507465</v>
      </c>
      <c r="D63" s="245">
        <v>0.67</v>
      </c>
      <c r="E63" s="245">
        <v>1.22</v>
      </c>
      <c r="F63" s="304">
        <f t="shared" ref="F63:F71" si="17">IF((+E63/G63)&lt;0,"n.m.",IF(E63&lt;0,(+E63/G63-1)*-1,(+E63/G63-1)))</f>
        <v>-0.72888888888888892</v>
      </c>
      <c r="G63" s="245">
        <v>4.5</v>
      </c>
      <c r="H63" s="304">
        <f t="shared" si="14"/>
        <v>89</v>
      </c>
      <c r="I63" s="107">
        <v>0.05</v>
      </c>
      <c r="J63" s="304">
        <f t="shared" si="4"/>
        <v>-0.91935483870967738</v>
      </c>
      <c r="K63" s="240">
        <v>0.62</v>
      </c>
      <c r="L63" s="270">
        <f t="shared" si="15"/>
        <v>-0.53030303030303028</v>
      </c>
      <c r="M63" s="107">
        <v>1.32</v>
      </c>
      <c r="N63" s="8"/>
      <c r="O63" s="8"/>
    </row>
    <row r="64" spans="1:15" s="6" customFormat="1" ht="11.25">
      <c r="A64" s="101" t="s">
        <v>105</v>
      </c>
      <c r="B64" s="247">
        <v>0.12</v>
      </c>
      <c r="C64" s="304">
        <f t="shared" si="16"/>
        <v>2</v>
      </c>
      <c r="D64" s="247">
        <v>0.04</v>
      </c>
      <c r="E64" s="247">
        <v>0.15</v>
      </c>
      <c r="F64" s="304">
        <f t="shared" si="17"/>
        <v>1.5</v>
      </c>
      <c r="G64" s="247">
        <v>0.06</v>
      </c>
      <c r="H64" s="304">
        <f t="shared" si="14"/>
        <v>-0.96078431372549022</v>
      </c>
      <c r="I64" s="109">
        <v>1.53</v>
      </c>
      <c r="J64" s="304">
        <f t="shared" si="4"/>
        <v>-0.63397129186602874</v>
      </c>
      <c r="K64" s="242">
        <v>4.18</v>
      </c>
      <c r="L64" s="270">
        <f t="shared" si="15"/>
        <v>-0.64150943396226423</v>
      </c>
      <c r="M64" s="109">
        <v>11.66</v>
      </c>
      <c r="N64" s="8"/>
      <c r="O64" s="8"/>
    </row>
    <row r="65" spans="1:15" s="6" customFormat="1" ht="11.25">
      <c r="A65" s="101" t="s">
        <v>106</v>
      </c>
      <c r="B65" s="247">
        <v>0.56999999999999995</v>
      </c>
      <c r="C65" s="304">
        <f t="shared" si="16"/>
        <v>-0.92839195979899503</v>
      </c>
      <c r="D65" s="247">
        <v>7.96</v>
      </c>
      <c r="E65" s="247">
        <v>16.91</v>
      </c>
      <c r="F65" s="304">
        <f t="shared" si="17"/>
        <v>0.11986754966887414</v>
      </c>
      <c r="G65" s="247">
        <v>15.1</v>
      </c>
      <c r="H65" s="304">
        <f t="shared" si="14"/>
        <v>1.2108345534407028</v>
      </c>
      <c r="I65" s="109">
        <v>6.83</v>
      </c>
      <c r="J65" s="304">
        <f t="shared" si="4"/>
        <v>0.32364341085271309</v>
      </c>
      <c r="K65" s="242">
        <v>5.16</v>
      </c>
      <c r="L65" s="270">
        <f t="shared" si="15"/>
        <v>0.5975232198142415</v>
      </c>
      <c r="M65" s="109">
        <v>3.23</v>
      </c>
      <c r="N65" s="8"/>
      <c r="O65" s="8"/>
    </row>
    <row r="66" spans="1:15" s="6" customFormat="1" ht="11.25">
      <c r="A66" s="104" t="s">
        <v>86</v>
      </c>
      <c r="B66" s="247">
        <f>B44</f>
        <v>76.25</v>
      </c>
      <c r="C66" s="304">
        <f t="shared" si="16"/>
        <v>0.23983739837398366</v>
      </c>
      <c r="D66" s="247">
        <f>D44</f>
        <v>61.5</v>
      </c>
      <c r="E66" s="247">
        <f>E44</f>
        <v>150.62</v>
      </c>
      <c r="F66" s="304">
        <f t="shared" si="17"/>
        <v>3.6827975493907816E-2</v>
      </c>
      <c r="G66" s="247">
        <f>G44</f>
        <v>145.27000000000001</v>
      </c>
      <c r="H66" s="304">
        <f t="shared" si="14"/>
        <v>0.18995740498034097</v>
      </c>
      <c r="I66" s="109">
        <f>I44</f>
        <v>122.08</v>
      </c>
      <c r="J66" s="304">
        <f t="shared" si="4"/>
        <v>-3.5474441020779013E-2</v>
      </c>
      <c r="K66" s="242">
        <f>K44</f>
        <v>126.57</v>
      </c>
      <c r="L66" s="270">
        <f t="shared" si="15"/>
        <v>-1.7389954196102897E-2</v>
      </c>
      <c r="M66" s="109">
        <f>M44</f>
        <v>128.81</v>
      </c>
      <c r="N66" s="8"/>
      <c r="O66" s="8"/>
    </row>
    <row r="67" spans="1:15" s="6" customFormat="1" ht="11.25">
      <c r="A67" s="104" t="s">
        <v>87</v>
      </c>
      <c r="B67" s="247">
        <f>B45</f>
        <v>801.28</v>
      </c>
      <c r="C67" s="304">
        <f t="shared" si="16"/>
        <v>-0.14544717701512277</v>
      </c>
      <c r="D67" s="247">
        <f>D45</f>
        <v>937.66</v>
      </c>
      <c r="E67" s="247">
        <f>E45</f>
        <v>2175.7199999999998</v>
      </c>
      <c r="F67" s="304">
        <f t="shared" si="17"/>
        <v>9.9614883100342722E-2</v>
      </c>
      <c r="G67" s="247">
        <f>G45</f>
        <v>1978.62</v>
      </c>
      <c r="H67" s="304">
        <f t="shared" si="14"/>
        <v>0.11494162196276414</v>
      </c>
      <c r="I67" s="109">
        <f>I45</f>
        <v>1774.64</v>
      </c>
      <c r="J67" s="304">
        <f t="shared" si="4"/>
        <v>7.0918219561649121E-2</v>
      </c>
      <c r="K67" s="242">
        <f>K45</f>
        <v>1657.1200000000001</v>
      </c>
      <c r="L67" s="270">
        <f t="shared" si="15"/>
        <v>3.5984895846357778E-2</v>
      </c>
      <c r="M67" s="109">
        <f>M45</f>
        <v>1599.56</v>
      </c>
      <c r="N67" s="8"/>
      <c r="O67" s="8"/>
    </row>
    <row r="68" spans="1:15" s="2" customFormat="1" ht="11.25">
      <c r="A68" s="104" t="s">
        <v>107</v>
      </c>
      <c r="B68" s="247">
        <f>B46+B47+B48+B49+B50+B51+B52+B53+B54+B55</f>
        <v>872.29</v>
      </c>
      <c r="C68" s="304">
        <f t="shared" si="16"/>
        <v>-3.5802714772074196E-2</v>
      </c>
      <c r="D68" s="247">
        <f>D46+D47+D48+D49+D50+D51+D52+D53+D54+D55</f>
        <v>904.68000000000006</v>
      </c>
      <c r="E68" s="247">
        <f>E46+E47+E48+E49+E50+E51+E52+E53+E54+E55</f>
        <v>2236.17</v>
      </c>
      <c r="F68" s="304">
        <f t="shared" si="17"/>
        <v>4.3763798712664892E-2</v>
      </c>
      <c r="G68" s="247">
        <f>G46+G47+G48+G49+G50+G51+G52+G53+G54+G55</f>
        <v>2142.41</v>
      </c>
      <c r="H68" s="304">
        <f t="shared" si="14"/>
        <v>0.12208598917933711</v>
      </c>
      <c r="I68" s="109">
        <f>I46+I47+I48+I49+I50+I51+I52+I53+I54+I55</f>
        <v>1909.3099999999997</v>
      </c>
      <c r="J68" s="304">
        <f t="shared" ref="J68:J101" si="18">IF((+I68/K68)&lt;0,"n.m.",IF(I68&lt;0,(+I68/K68-1)*-1,(+I68/K68-1)))</f>
        <v>6.12761037647227E-2</v>
      </c>
      <c r="K68" s="242">
        <f>K46+K47+K48+K49+K50+K51+K52+K53+K54+K55</f>
        <v>1799.0700000000002</v>
      </c>
      <c r="L68" s="270">
        <f t="shared" si="15"/>
        <v>-0.24728254047947762</v>
      </c>
      <c r="M68" s="109">
        <f>M46+M47+M48+M49+M50+M51+M52+M53+M54+M55</f>
        <v>2390.0999999999995</v>
      </c>
      <c r="N68" s="4"/>
      <c r="O68" s="4"/>
    </row>
    <row r="69" spans="1:15" s="2" customFormat="1" ht="11.25">
      <c r="A69" s="104" t="s">
        <v>108</v>
      </c>
      <c r="B69" s="247">
        <f>B56+B57+B58+B59+B60+B61</f>
        <v>135.92000000000002</v>
      </c>
      <c r="C69" s="304">
        <f t="shared" si="16"/>
        <v>-0.1240010311936065</v>
      </c>
      <c r="D69" s="247">
        <f>D56+D57+D58+D59+D60+D61</f>
        <v>155.16</v>
      </c>
      <c r="E69" s="247">
        <f>E56+E57+E58+E59+E60+E61</f>
        <v>333.44</v>
      </c>
      <c r="F69" s="304">
        <f t="shared" si="17"/>
        <v>-5.6186136035551448E-2</v>
      </c>
      <c r="G69" s="247">
        <f>G56+G57+G58+G59+G60+G61</f>
        <v>353.28999999999996</v>
      </c>
      <c r="H69" s="304">
        <f t="shared" si="14"/>
        <v>-0.1713421213116294</v>
      </c>
      <c r="I69" s="109">
        <f>I56+I57+I58+I59+I60+I61</f>
        <v>426.34000000000003</v>
      </c>
      <c r="J69" s="304">
        <f t="shared" si="18"/>
        <v>4.6644081111602009E-2</v>
      </c>
      <c r="K69" s="242">
        <f>K56+K57+K58+K59+K60+K61</f>
        <v>407.34000000000003</v>
      </c>
      <c r="L69" s="270">
        <f t="shared" si="15"/>
        <v>5.0576432053232701E-2</v>
      </c>
      <c r="M69" s="109">
        <f>M56+M57+M58+M59+M60+M61</f>
        <v>387.73000000000008</v>
      </c>
      <c r="N69" s="4"/>
      <c r="O69" s="4"/>
    </row>
    <row r="70" spans="1:15" s="6" customFormat="1" ht="11.25">
      <c r="A70" s="104" t="s">
        <v>109</v>
      </c>
      <c r="B70" s="247">
        <f>B62+B63+B64+B65</f>
        <v>5.6300000000000008</v>
      </c>
      <c r="C70" s="304">
        <f t="shared" si="16"/>
        <v>-0.36741573033707864</v>
      </c>
      <c r="D70" s="247">
        <f>D62+D63+D64+D65</f>
        <v>8.9</v>
      </c>
      <c r="E70" s="247">
        <f>E62+E63+E64+E65</f>
        <v>19.84</v>
      </c>
      <c r="F70" s="304">
        <f t="shared" si="17"/>
        <v>8.6426029486528222E-3</v>
      </c>
      <c r="G70" s="247">
        <f>G62+G63+G64+G65</f>
        <v>19.669999999999998</v>
      </c>
      <c r="H70" s="304">
        <f t="shared" si="14"/>
        <v>1.1310942578548211</v>
      </c>
      <c r="I70" s="109">
        <f>I62+I63+I64+I65</f>
        <v>9.23</v>
      </c>
      <c r="J70" s="304">
        <f t="shared" si="18"/>
        <v>-0.15165441176470573</v>
      </c>
      <c r="K70" s="242">
        <f>K62+K63+K64+K65</f>
        <v>10.879999999999999</v>
      </c>
      <c r="L70" s="270">
        <f t="shared" si="15"/>
        <v>-0.62391980642931222</v>
      </c>
      <c r="M70" s="109">
        <f>M62+M63+M64+M65</f>
        <v>28.930000000000003</v>
      </c>
      <c r="N70" s="8"/>
      <c r="O70" s="8"/>
    </row>
    <row r="71" spans="1:15" s="94" customFormat="1" ht="10.35" customHeight="1">
      <c r="A71" s="99" t="s">
        <v>113</v>
      </c>
      <c r="B71" s="269">
        <f>SUM(B66:B70)</f>
        <v>1891.3700000000001</v>
      </c>
      <c r="C71" s="303">
        <f t="shared" si="16"/>
        <v>-8.5366797233908831E-2</v>
      </c>
      <c r="D71" s="269">
        <f>SUM(D66:D70)</f>
        <v>2067.9</v>
      </c>
      <c r="E71" s="269">
        <f>SUM(E66:E70)</f>
        <v>4915.79</v>
      </c>
      <c r="F71" s="303">
        <f t="shared" si="17"/>
        <v>5.9606488965912918E-2</v>
      </c>
      <c r="G71" s="269">
        <f>SUM(G66:G70)</f>
        <v>4639.2599999999993</v>
      </c>
      <c r="H71" s="303">
        <f t="shared" si="14"/>
        <v>9.3752357600905389E-2</v>
      </c>
      <c r="I71" s="93">
        <f>SUM(I66:I70)</f>
        <v>4241.5999999999995</v>
      </c>
      <c r="J71" s="303">
        <f t="shared" si="18"/>
        <v>6.0140265634919254E-2</v>
      </c>
      <c r="K71" s="239">
        <f>SUM(K66:K70)</f>
        <v>4000.9800000000005</v>
      </c>
      <c r="L71" s="279">
        <f t="shared" ref="L71" si="19">IF((+K71/M71)&lt;0,"n.m.",IF(K71&lt;0,(+K71/M71-1)*-1,(+K71/M71-1)))</f>
        <v>-0.11778052668831973</v>
      </c>
      <c r="M71" s="93">
        <f>SUM(M66:M70)</f>
        <v>4535.13</v>
      </c>
    </row>
    <row r="72" spans="1:15" ht="10.35" customHeight="1">
      <c r="A72" s="101"/>
      <c r="B72" s="460"/>
      <c r="C72" s="456"/>
      <c r="D72" s="460"/>
      <c r="E72" s="104"/>
      <c r="F72" s="304"/>
      <c r="G72" s="104"/>
      <c r="H72" s="304"/>
      <c r="I72" s="104"/>
      <c r="J72" s="304"/>
      <c r="K72" s="104"/>
      <c r="L72" s="104"/>
      <c r="M72" s="104"/>
    </row>
    <row r="73" spans="1:15" ht="10.35" customHeight="1">
      <c r="A73" s="110" t="s">
        <v>2</v>
      </c>
      <c r="B73" s="461"/>
      <c r="C73" s="456"/>
      <c r="D73" s="461"/>
      <c r="E73" s="111"/>
      <c r="F73" s="304"/>
      <c r="G73" s="111"/>
      <c r="H73" s="304"/>
      <c r="I73" s="111"/>
      <c r="J73" s="304"/>
      <c r="K73" s="111"/>
      <c r="L73" s="111"/>
      <c r="M73" s="111"/>
    </row>
    <row r="74" spans="1:15" s="2" customFormat="1" ht="11.25">
      <c r="A74" s="101" t="s">
        <v>86</v>
      </c>
      <c r="B74" s="245">
        <v>146.48999999999998</v>
      </c>
      <c r="C74" s="304">
        <f t="shared" ref="C74:C87" si="20">IF((+B74/D74)&lt;0,"n.m.",IF(B74&lt;0,(+B74/D74-1)*-1,(+B74/D74-1)))</f>
        <v>-2.0526878844611018E-2</v>
      </c>
      <c r="D74" s="245">
        <v>149.56</v>
      </c>
      <c r="E74" s="245">
        <v>159.26</v>
      </c>
      <c r="F74" s="304">
        <f t="shared" ref="F74:F95" si="21">IF((+E74/G74)&lt;0,"n.m.",IF(E74&lt;0,(+E74/G74-1)*-1,(+E74/G74-1)))</f>
        <v>0.18119112957057015</v>
      </c>
      <c r="G74" s="245">
        <v>134.83000000000001</v>
      </c>
      <c r="H74" s="304">
        <f t="shared" si="14"/>
        <v>-3.9398689085209493E-2</v>
      </c>
      <c r="I74" s="107">
        <v>140.36000000000001</v>
      </c>
      <c r="J74" s="304">
        <f t="shared" si="18"/>
        <v>0.71547298948912275</v>
      </c>
      <c r="K74" s="245">
        <v>81.819999999999993</v>
      </c>
      <c r="L74" s="270">
        <f t="shared" ref="L74:L100" si="22">IF((+K74/M74)&lt;0,"n.m.",IF(K74&lt;0,(+K74/M74-1)*-1,(+K74/M74-1)))</f>
        <v>-5.832320777642841E-3</v>
      </c>
      <c r="M74" s="107">
        <v>82.3</v>
      </c>
      <c r="N74" s="4"/>
      <c r="O74" s="4"/>
    </row>
    <row r="75" spans="1:15" s="2" customFormat="1" ht="11.25">
      <c r="A75" s="101" t="s">
        <v>87</v>
      </c>
      <c r="B75" s="245">
        <v>1667.49</v>
      </c>
      <c r="C75" s="304">
        <f t="shared" si="20"/>
        <v>-6.5915660220932648E-2</v>
      </c>
      <c r="D75" s="245">
        <v>1785.16</v>
      </c>
      <c r="E75" s="245">
        <v>1579.83</v>
      </c>
      <c r="F75" s="304">
        <f t="shared" si="21"/>
        <v>-3.5124042654549492E-2</v>
      </c>
      <c r="G75" s="245">
        <v>1637.34</v>
      </c>
      <c r="H75" s="304">
        <f t="shared" si="14"/>
        <v>0.21929315044010544</v>
      </c>
      <c r="I75" s="107">
        <v>1342.86</v>
      </c>
      <c r="J75" s="304">
        <f t="shared" si="18"/>
        <v>7.390998368574242E-2</v>
      </c>
      <c r="K75" s="245">
        <v>1250.44</v>
      </c>
      <c r="L75" s="270">
        <f t="shared" si="22"/>
        <v>3.6410804717739609E-2</v>
      </c>
      <c r="M75" s="107">
        <v>1206.51</v>
      </c>
      <c r="N75" s="4"/>
      <c r="O75" s="4"/>
    </row>
    <row r="76" spans="1:15" s="2" customFormat="1" ht="11.25">
      <c r="A76" s="101" t="s">
        <v>88</v>
      </c>
      <c r="B76" s="245">
        <v>0</v>
      </c>
      <c r="C76" s="304"/>
      <c r="D76" s="245">
        <v>0</v>
      </c>
      <c r="E76" s="245">
        <v>0</v>
      </c>
      <c r="F76" s="304">
        <f t="shared" si="21"/>
        <v>-1</v>
      </c>
      <c r="G76" s="245">
        <v>0.01</v>
      </c>
      <c r="H76" s="304"/>
      <c r="I76" s="107">
        <v>0</v>
      </c>
      <c r="J76" s="304">
        <f t="shared" si="18"/>
        <v>-1</v>
      </c>
      <c r="K76" s="245">
        <v>0.05</v>
      </c>
      <c r="L76" s="270">
        <f t="shared" si="22"/>
        <v>-0.98898678414096919</v>
      </c>
      <c r="M76" s="107">
        <v>4.54</v>
      </c>
      <c r="N76" s="4"/>
      <c r="O76" s="4"/>
    </row>
    <row r="77" spans="1:15" s="2" customFormat="1" ht="11.25">
      <c r="A77" s="101" t="s">
        <v>89</v>
      </c>
      <c r="B77" s="245">
        <v>895.88</v>
      </c>
      <c r="C77" s="304">
        <f t="shared" si="20"/>
        <v>0.46161125069337938</v>
      </c>
      <c r="D77" s="245">
        <v>612.94000000000005</v>
      </c>
      <c r="E77" s="245">
        <v>744.65</v>
      </c>
      <c r="F77" s="304">
        <f t="shared" si="21"/>
        <v>0.7017070774012204</v>
      </c>
      <c r="G77" s="245">
        <v>437.59</v>
      </c>
      <c r="H77" s="304">
        <f t="shared" si="14"/>
        <v>0.20465244322092224</v>
      </c>
      <c r="I77" s="107">
        <v>363.25</v>
      </c>
      <c r="J77" s="304">
        <f t="shared" si="18"/>
        <v>0.33591997352065017</v>
      </c>
      <c r="K77" s="245">
        <v>271.91000000000003</v>
      </c>
      <c r="L77" s="270">
        <f t="shared" si="22"/>
        <v>-0.13163861654903708</v>
      </c>
      <c r="M77" s="107">
        <v>313.13</v>
      </c>
      <c r="N77" s="4"/>
      <c r="O77" s="4"/>
    </row>
    <row r="78" spans="1:15" s="6" customFormat="1" ht="11.25">
      <c r="A78" s="101" t="s">
        <v>90</v>
      </c>
      <c r="B78" s="245">
        <v>464.2</v>
      </c>
      <c r="C78" s="304">
        <f t="shared" si="20"/>
        <v>-0.45149474181732241</v>
      </c>
      <c r="D78" s="245">
        <v>846.3</v>
      </c>
      <c r="E78" s="245">
        <v>617.74</v>
      </c>
      <c r="F78" s="304">
        <f t="shared" si="21"/>
        <v>-0.33738790921182471</v>
      </c>
      <c r="G78" s="245">
        <v>932.28</v>
      </c>
      <c r="H78" s="304">
        <f t="shared" si="14"/>
        <v>-0.21539121872396294</v>
      </c>
      <c r="I78" s="107">
        <v>1188.21</v>
      </c>
      <c r="J78" s="304">
        <f t="shared" si="18"/>
        <v>3.8597546012269941</v>
      </c>
      <c r="K78" s="245">
        <v>244.5</v>
      </c>
      <c r="L78" s="270">
        <f t="shared" si="22"/>
        <v>1.0541040073930943</v>
      </c>
      <c r="M78" s="107">
        <v>119.03</v>
      </c>
      <c r="N78" s="8"/>
      <c r="O78" s="8"/>
    </row>
    <row r="79" spans="1:15" s="6" customFormat="1" ht="11.25">
      <c r="A79" s="101" t="s">
        <v>132</v>
      </c>
      <c r="B79" s="245">
        <v>68.94</v>
      </c>
      <c r="C79" s="304">
        <f t="shared" si="20"/>
        <v>8.4644430459408282E-2</v>
      </c>
      <c r="D79" s="245">
        <v>63.56</v>
      </c>
      <c r="E79" s="245">
        <v>102.26</v>
      </c>
      <c r="F79" s="304">
        <f t="shared" si="21"/>
        <v>0.22408427100790029</v>
      </c>
      <c r="G79" s="245">
        <v>83.54</v>
      </c>
      <c r="H79" s="304">
        <f t="shared" si="14"/>
        <v>-0.51194718700706887</v>
      </c>
      <c r="I79" s="107">
        <v>171.17</v>
      </c>
      <c r="J79" s="304">
        <f t="shared" si="18"/>
        <v>-0.13049883165701526</v>
      </c>
      <c r="K79" s="245">
        <v>196.86</v>
      </c>
      <c r="L79" s="270">
        <f t="shared" si="22"/>
        <v>-0.37798982590287211</v>
      </c>
      <c r="M79" s="107">
        <v>316.49</v>
      </c>
      <c r="N79" s="8"/>
      <c r="O79" s="8"/>
    </row>
    <row r="80" spans="1:15" s="6" customFormat="1" ht="11.25">
      <c r="A80" s="101" t="s">
        <v>91</v>
      </c>
      <c r="B80" s="245">
        <v>290.29000000000002</v>
      </c>
      <c r="C80" s="304">
        <f t="shared" si="20"/>
        <v>0.25525382686154119</v>
      </c>
      <c r="D80" s="245">
        <v>231.26000000000002</v>
      </c>
      <c r="E80" s="245">
        <v>214.55</v>
      </c>
      <c r="F80" s="304">
        <f t="shared" si="21"/>
        <v>-0.13731403297145151</v>
      </c>
      <c r="G80" s="245">
        <v>248.7</v>
      </c>
      <c r="H80" s="304">
        <f t="shared" si="14"/>
        <v>-0.4534306184343545</v>
      </c>
      <c r="I80" s="107">
        <v>455.02</v>
      </c>
      <c r="J80" s="304">
        <f t="shared" si="18"/>
        <v>-8.669035145822046E-2</v>
      </c>
      <c r="K80" s="245">
        <v>498.21</v>
      </c>
      <c r="L80" s="270">
        <f t="shared" si="22"/>
        <v>0.45360914979284583</v>
      </c>
      <c r="M80" s="107">
        <v>342.74</v>
      </c>
      <c r="N80" s="8"/>
      <c r="O80" s="8"/>
    </row>
    <row r="81" spans="1:15" s="6" customFormat="1" ht="11.25">
      <c r="A81" s="101" t="s">
        <v>92</v>
      </c>
      <c r="B81" s="245">
        <v>327.48</v>
      </c>
      <c r="C81" s="304">
        <f t="shared" si="20"/>
        <v>0.1741001003872078</v>
      </c>
      <c r="D81" s="245">
        <v>278.92</v>
      </c>
      <c r="E81" s="245">
        <v>261.47000000000003</v>
      </c>
      <c r="F81" s="304">
        <f t="shared" si="21"/>
        <v>0.46481792717086856</v>
      </c>
      <c r="G81" s="245">
        <v>178.5</v>
      </c>
      <c r="H81" s="304">
        <f t="shared" si="14"/>
        <v>0.40984124476739603</v>
      </c>
      <c r="I81" s="107">
        <v>126.61</v>
      </c>
      <c r="J81" s="304">
        <f t="shared" si="18"/>
        <v>-0.50731574441590788</v>
      </c>
      <c r="K81" s="245">
        <v>256.98</v>
      </c>
      <c r="L81" s="270">
        <f t="shared" si="22"/>
        <v>-0.33333333333333337</v>
      </c>
      <c r="M81" s="107">
        <v>385.47</v>
      </c>
      <c r="N81" s="8"/>
      <c r="O81" s="8"/>
    </row>
    <row r="82" spans="1:15" s="6" customFormat="1" ht="11.25">
      <c r="A82" s="101" t="s">
        <v>93</v>
      </c>
      <c r="B82" s="245">
        <v>203.34</v>
      </c>
      <c r="C82" s="304">
        <f t="shared" si="20"/>
        <v>1.6079261254328587</v>
      </c>
      <c r="D82" s="245">
        <v>77.97</v>
      </c>
      <c r="E82" s="245">
        <v>185.18</v>
      </c>
      <c r="F82" s="304">
        <f t="shared" si="21"/>
        <v>1.1226501604768457</v>
      </c>
      <c r="G82" s="245">
        <v>87.24</v>
      </c>
      <c r="H82" s="304">
        <f t="shared" si="14"/>
        <v>-0.4226722255310702</v>
      </c>
      <c r="I82" s="107">
        <v>151.11000000000001</v>
      </c>
      <c r="J82" s="304">
        <f t="shared" si="18"/>
        <v>0.45102746303053598</v>
      </c>
      <c r="K82" s="245">
        <v>104.14</v>
      </c>
      <c r="L82" s="270">
        <f t="shared" si="22"/>
        <v>0.96601850103832354</v>
      </c>
      <c r="M82" s="107">
        <v>52.97</v>
      </c>
      <c r="N82" s="8"/>
      <c r="O82" s="8"/>
    </row>
    <row r="83" spans="1:15" s="6" customFormat="1" ht="11.25">
      <c r="A83" s="101" t="s">
        <v>94</v>
      </c>
      <c r="B83" s="245">
        <v>86.28</v>
      </c>
      <c r="C83" s="304">
        <f t="shared" si="20"/>
        <v>0.84162219850586983</v>
      </c>
      <c r="D83" s="245">
        <v>46.85</v>
      </c>
      <c r="E83" s="245">
        <v>38.6</v>
      </c>
      <c r="F83" s="304">
        <f t="shared" si="21"/>
        <v>-0.2262978552816195</v>
      </c>
      <c r="G83" s="245">
        <v>49.89</v>
      </c>
      <c r="H83" s="304">
        <f t="shared" si="14"/>
        <v>-0.11259338313767342</v>
      </c>
      <c r="I83" s="107">
        <v>56.22</v>
      </c>
      <c r="J83" s="304">
        <f t="shared" si="18"/>
        <v>0.1115065243179123</v>
      </c>
      <c r="K83" s="245">
        <v>50.58</v>
      </c>
      <c r="L83" s="270">
        <f t="shared" si="22"/>
        <v>-0.10809381061541179</v>
      </c>
      <c r="M83" s="107">
        <v>56.71</v>
      </c>
      <c r="N83" s="8"/>
      <c r="O83" s="8"/>
    </row>
    <row r="84" spans="1:15" s="6" customFormat="1" ht="11.25">
      <c r="A84" s="101" t="s">
        <v>95</v>
      </c>
      <c r="B84" s="245">
        <v>149.9</v>
      </c>
      <c r="C84" s="304">
        <f t="shared" si="20"/>
        <v>0.20585632692462386</v>
      </c>
      <c r="D84" s="245">
        <v>124.31</v>
      </c>
      <c r="E84" s="245">
        <v>194.01</v>
      </c>
      <c r="F84" s="304">
        <f t="shared" si="21"/>
        <v>0.80172734026745895</v>
      </c>
      <c r="G84" s="245">
        <v>107.68</v>
      </c>
      <c r="H84" s="304">
        <f t="shared" si="14"/>
        <v>0.46145494028230183</v>
      </c>
      <c r="I84" s="107">
        <v>73.680000000000007</v>
      </c>
      <c r="J84" s="304">
        <f t="shared" si="18"/>
        <v>-9.2275471233214224E-2</v>
      </c>
      <c r="K84" s="245">
        <v>81.17</v>
      </c>
      <c r="L84" s="270">
        <f t="shared" si="22"/>
        <v>-0.11752554903239831</v>
      </c>
      <c r="M84" s="107">
        <v>91.98</v>
      </c>
      <c r="N84" s="8"/>
      <c r="O84" s="8"/>
    </row>
    <row r="85" spans="1:15" s="6" customFormat="1" ht="11.25">
      <c r="A85" s="101" t="s">
        <v>96</v>
      </c>
      <c r="B85" s="245">
        <v>144.62</v>
      </c>
      <c r="C85" s="304">
        <f t="shared" si="20"/>
        <v>0.34517719281927262</v>
      </c>
      <c r="D85" s="245">
        <v>107.51</v>
      </c>
      <c r="E85" s="245">
        <v>91.81</v>
      </c>
      <c r="F85" s="304">
        <f t="shared" si="21"/>
        <v>-0.129432960364119</v>
      </c>
      <c r="G85" s="245">
        <v>105.46</v>
      </c>
      <c r="H85" s="304">
        <f t="shared" si="14"/>
        <v>0.10940458657689867</v>
      </c>
      <c r="I85" s="107">
        <v>95.06</v>
      </c>
      <c r="J85" s="304">
        <f t="shared" si="18"/>
        <v>1.1817764516869405</v>
      </c>
      <c r="K85" s="245">
        <v>43.57</v>
      </c>
      <c r="L85" s="270">
        <f t="shared" si="22"/>
        <v>0.62756817332835269</v>
      </c>
      <c r="M85" s="107">
        <v>26.77</v>
      </c>
      <c r="N85" s="8"/>
      <c r="O85" s="8"/>
    </row>
    <row r="86" spans="1:15" s="6" customFormat="1" ht="11.25">
      <c r="A86" s="101" t="s">
        <v>97</v>
      </c>
      <c r="B86" s="245">
        <v>148.34</v>
      </c>
      <c r="C86" s="304">
        <f t="shared" si="20"/>
        <v>-0.24673741938759963</v>
      </c>
      <c r="D86" s="245">
        <v>196.93</v>
      </c>
      <c r="E86" s="245">
        <v>141.31</v>
      </c>
      <c r="F86" s="304">
        <f t="shared" si="21"/>
        <v>-0.17434998539293023</v>
      </c>
      <c r="G86" s="245">
        <v>171.15</v>
      </c>
      <c r="H86" s="304">
        <f t="shared" si="14"/>
        <v>-7.4764839442101771E-2</v>
      </c>
      <c r="I86" s="107">
        <v>184.98</v>
      </c>
      <c r="J86" s="304">
        <f t="shared" si="18"/>
        <v>-0.17691554685414268</v>
      </c>
      <c r="K86" s="245">
        <v>224.74</v>
      </c>
      <c r="L86" s="270">
        <f t="shared" si="22"/>
        <v>-0.15434978928356402</v>
      </c>
      <c r="M86" s="107">
        <v>265.76</v>
      </c>
      <c r="N86" s="8"/>
      <c r="O86" s="8"/>
    </row>
    <row r="87" spans="1:15" s="6" customFormat="1" ht="11.25">
      <c r="A87" s="101" t="s">
        <v>98</v>
      </c>
      <c r="B87" s="108">
        <v>1.07</v>
      </c>
      <c r="C87" s="304">
        <f t="shared" si="20"/>
        <v>-0.699438202247191</v>
      </c>
      <c r="D87" s="108">
        <v>3.56</v>
      </c>
      <c r="E87" s="108">
        <v>2.38</v>
      </c>
      <c r="F87" s="304">
        <f t="shared" si="21"/>
        <v>-0.53965183752417789</v>
      </c>
      <c r="G87" s="108">
        <v>5.17</v>
      </c>
      <c r="H87" s="304">
        <f t="shared" si="14"/>
        <v>-0.58340048348106366</v>
      </c>
      <c r="I87" s="108">
        <v>12.41</v>
      </c>
      <c r="J87" s="304">
        <f t="shared" si="18"/>
        <v>-0.13699582753824757</v>
      </c>
      <c r="K87" s="246">
        <v>14.38</v>
      </c>
      <c r="L87" s="270">
        <f t="shared" si="22"/>
        <v>-5.1451187335092352E-2</v>
      </c>
      <c r="M87" s="108">
        <v>15.16</v>
      </c>
      <c r="N87" s="8"/>
      <c r="O87" s="8"/>
    </row>
    <row r="88" spans="1:15" s="6" customFormat="1" ht="11.25">
      <c r="A88" s="101" t="s">
        <v>99</v>
      </c>
      <c r="B88" s="245">
        <v>0</v>
      </c>
      <c r="C88" s="304"/>
      <c r="D88" s="245">
        <v>0</v>
      </c>
      <c r="E88" s="245">
        <v>0</v>
      </c>
      <c r="F88" s="304"/>
      <c r="G88" s="245">
        <v>0</v>
      </c>
      <c r="H88" s="304"/>
      <c r="I88" s="107">
        <v>0</v>
      </c>
      <c r="J88" s="304"/>
      <c r="K88" s="245">
        <v>0</v>
      </c>
      <c r="L88" s="270"/>
      <c r="M88" s="107">
        <v>0</v>
      </c>
      <c r="N88" s="8"/>
      <c r="O88" s="8"/>
    </row>
    <row r="89" spans="1:15" s="2" customFormat="1" ht="11.25">
      <c r="A89" s="101" t="s">
        <v>100</v>
      </c>
      <c r="B89" s="245">
        <v>6.76</v>
      </c>
      <c r="C89" s="304">
        <f t="shared" ref="C89" si="23">IF((+B89/D89)&lt;0,"n.m.",IF(B89&lt;0,(+B89/D89-1)*-1,(+B89/D89-1)))</f>
        <v>-0.20657276995305163</v>
      </c>
      <c r="D89" s="245">
        <v>8.52</v>
      </c>
      <c r="E89" s="245">
        <v>7.71</v>
      </c>
      <c r="F89" s="304">
        <f t="shared" si="21"/>
        <v>-9.6131301289566151E-2</v>
      </c>
      <c r="G89" s="245">
        <v>8.5299999999999994</v>
      </c>
      <c r="H89" s="304">
        <f t="shared" si="14"/>
        <v>-0.28259041211101776</v>
      </c>
      <c r="I89" s="107">
        <v>11.89</v>
      </c>
      <c r="J89" s="304">
        <f t="shared" si="18"/>
        <v>7.2569444444444446</v>
      </c>
      <c r="K89" s="245">
        <v>1.44</v>
      </c>
      <c r="L89" s="270">
        <f t="shared" si="22"/>
        <v>-0.34841628959276016</v>
      </c>
      <c r="M89" s="107">
        <v>2.21</v>
      </c>
      <c r="N89" s="4"/>
      <c r="O89" s="4"/>
    </row>
    <row r="90" spans="1:15" s="6" customFormat="1" ht="11.25">
      <c r="A90" s="101" t="s">
        <v>101</v>
      </c>
      <c r="B90" s="245">
        <v>7.0000000000000007E-2</v>
      </c>
      <c r="C90" s="304"/>
      <c r="D90" s="245">
        <v>0</v>
      </c>
      <c r="E90" s="245">
        <v>0.01</v>
      </c>
      <c r="F90" s="304"/>
      <c r="G90" s="245">
        <v>0</v>
      </c>
      <c r="H90" s="304"/>
      <c r="I90" s="107">
        <v>0</v>
      </c>
      <c r="J90" s="304"/>
      <c r="K90" s="245">
        <v>0</v>
      </c>
      <c r="L90" s="270"/>
      <c r="M90" s="107">
        <v>0</v>
      </c>
      <c r="N90" s="8"/>
      <c r="O90" s="8"/>
    </row>
    <row r="91" spans="1:15" s="6" customFormat="1" ht="11.25">
      <c r="A91" s="101" t="s">
        <v>102</v>
      </c>
      <c r="B91" s="245">
        <v>165.27</v>
      </c>
      <c r="C91" s="304">
        <f t="shared" ref="C91:C93" si="24">IF((+B91/D91)&lt;0,"n.m.",IF(B91&lt;0,(+B91/D91-1)*-1,(+B91/D91-1)))</f>
        <v>0.12237691001697804</v>
      </c>
      <c r="D91" s="245">
        <v>147.25</v>
      </c>
      <c r="E91" s="245">
        <v>139.26</v>
      </c>
      <c r="F91" s="304">
        <f t="shared" si="21"/>
        <v>0.30028011204481797</v>
      </c>
      <c r="G91" s="245">
        <v>107.1</v>
      </c>
      <c r="H91" s="304">
        <f t="shared" si="14"/>
        <v>-0.12003943800838068</v>
      </c>
      <c r="I91" s="107">
        <v>121.71000000000001</v>
      </c>
      <c r="J91" s="304">
        <f t="shared" si="18"/>
        <v>-0.22880496768470404</v>
      </c>
      <c r="K91" s="245">
        <v>157.82</v>
      </c>
      <c r="L91" s="270">
        <f t="shared" si="22"/>
        <v>-0.14618048041549458</v>
      </c>
      <c r="M91" s="107">
        <v>184.84</v>
      </c>
      <c r="N91" s="8"/>
      <c r="O91" s="8"/>
    </row>
    <row r="92" spans="1:15" s="6" customFormat="1" ht="11.25">
      <c r="A92" s="101" t="s">
        <v>103</v>
      </c>
      <c r="B92" s="245">
        <v>5.45</v>
      </c>
      <c r="C92" s="304">
        <f t="shared" si="24"/>
        <v>48.545454545454547</v>
      </c>
      <c r="D92" s="245">
        <v>0.11</v>
      </c>
      <c r="E92" s="245">
        <v>4.62</v>
      </c>
      <c r="F92" s="304">
        <f t="shared" si="21"/>
        <v>13.4375</v>
      </c>
      <c r="G92" s="245">
        <v>0.32</v>
      </c>
      <c r="H92" s="304"/>
      <c r="I92" s="107">
        <v>0</v>
      </c>
      <c r="J92" s="304">
        <f t="shared" si="18"/>
        <v>-1</v>
      </c>
      <c r="K92" s="245">
        <v>1.2</v>
      </c>
      <c r="L92" s="270">
        <f t="shared" si="22"/>
        <v>0.81818181818181812</v>
      </c>
      <c r="M92" s="107">
        <v>0.66</v>
      </c>
      <c r="N92" s="8"/>
      <c r="O92" s="8"/>
    </row>
    <row r="93" spans="1:15" s="6" customFormat="1" ht="11.25">
      <c r="A93" s="101" t="s">
        <v>104</v>
      </c>
      <c r="B93" s="245">
        <v>0.04</v>
      </c>
      <c r="C93" s="304">
        <f t="shared" si="24"/>
        <v>-0.87878787878787878</v>
      </c>
      <c r="D93" s="245">
        <v>0.33</v>
      </c>
      <c r="E93" s="245">
        <v>0.15</v>
      </c>
      <c r="F93" s="304">
        <f t="shared" si="21"/>
        <v>-0.85148514851485146</v>
      </c>
      <c r="G93" s="245">
        <v>1.01</v>
      </c>
      <c r="H93" s="304"/>
      <c r="I93" s="107">
        <v>0</v>
      </c>
      <c r="J93" s="304">
        <f t="shared" si="18"/>
        <v>-1</v>
      </c>
      <c r="K93" s="245">
        <v>0.01</v>
      </c>
      <c r="L93" s="270">
        <f t="shared" si="22"/>
        <v>-0.97560975609756095</v>
      </c>
      <c r="M93" s="107">
        <v>0.41</v>
      </c>
      <c r="N93" s="8"/>
      <c r="O93" s="8"/>
    </row>
    <row r="94" spans="1:15" s="6" customFormat="1" ht="11.25">
      <c r="A94" s="101" t="s">
        <v>105</v>
      </c>
      <c r="B94" s="247">
        <v>12.44</v>
      </c>
      <c r="C94" s="304"/>
      <c r="D94" s="247">
        <v>0</v>
      </c>
      <c r="E94" s="247">
        <v>0</v>
      </c>
      <c r="F94" s="304"/>
      <c r="G94" s="247">
        <v>0</v>
      </c>
      <c r="H94" s="304"/>
      <c r="I94" s="109">
        <v>0</v>
      </c>
      <c r="J94" s="304"/>
      <c r="K94" s="247">
        <v>0</v>
      </c>
      <c r="L94" s="270">
        <f t="shared" si="22"/>
        <v>-1</v>
      </c>
      <c r="M94" s="109">
        <v>3.02</v>
      </c>
      <c r="N94" s="8"/>
      <c r="O94" s="8"/>
    </row>
    <row r="95" spans="1:15" s="6" customFormat="1" ht="11.25">
      <c r="A95" s="101" t="s">
        <v>106</v>
      </c>
      <c r="B95" s="247">
        <v>4.42</v>
      </c>
      <c r="C95" s="304">
        <f t="shared" ref="C95:C101" si="25">IF((+B95/D95)&lt;0,"n.m.",IF(B95&lt;0,(+B95/D95-1)*-1,(+B95/D95-1)))</f>
        <v>-0.63380281690140849</v>
      </c>
      <c r="D95" s="247">
        <v>12.07</v>
      </c>
      <c r="E95" s="247">
        <v>4.57</v>
      </c>
      <c r="F95" s="304">
        <f t="shared" si="21"/>
        <v>-0.68826739427012273</v>
      </c>
      <c r="G95" s="247">
        <v>14.66</v>
      </c>
      <c r="H95" s="304">
        <f t="shared" si="14"/>
        <v>0.43584720861900084</v>
      </c>
      <c r="I95" s="109">
        <v>10.210000000000001</v>
      </c>
      <c r="J95" s="304">
        <f t="shared" si="18"/>
        <v>2.6594982078853051</v>
      </c>
      <c r="K95" s="247">
        <v>2.79</v>
      </c>
      <c r="L95" s="270">
        <f t="shared" si="22"/>
        <v>-0.58666666666666667</v>
      </c>
      <c r="M95" s="109">
        <v>6.75</v>
      </c>
      <c r="N95" s="8"/>
      <c r="O95" s="8"/>
    </row>
    <row r="96" spans="1:15" s="6" customFormat="1" ht="11.25">
      <c r="A96" s="104" t="s">
        <v>86</v>
      </c>
      <c r="B96" s="247">
        <f>B74</f>
        <v>146.48999999999998</v>
      </c>
      <c r="C96" s="304">
        <f t="shared" si="25"/>
        <v>-2.0526878844611018E-2</v>
      </c>
      <c r="D96" s="247">
        <f>D74</f>
        <v>149.56</v>
      </c>
      <c r="E96" s="247">
        <f>E74</f>
        <v>159.26</v>
      </c>
      <c r="F96" s="304">
        <f t="shared" ref="F96:F101" si="26">IF((+E96/G96)&lt;0,"n.m.",IF(E96&lt;0,(+E96/G96-1)*-1,(+E96/G96-1)))</f>
        <v>0.18119112957057015</v>
      </c>
      <c r="G96" s="247">
        <f>G74</f>
        <v>134.83000000000001</v>
      </c>
      <c r="H96" s="304">
        <f t="shared" si="14"/>
        <v>-3.9398689085209493E-2</v>
      </c>
      <c r="I96" s="109">
        <f>I74</f>
        <v>140.36000000000001</v>
      </c>
      <c r="J96" s="304">
        <f t="shared" si="18"/>
        <v>0.71547298948912275</v>
      </c>
      <c r="K96" s="247">
        <f>K74</f>
        <v>81.819999999999993</v>
      </c>
      <c r="L96" s="270">
        <f t="shared" si="22"/>
        <v>-5.832320777642841E-3</v>
      </c>
      <c r="M96" s="109">
        <f>M74</f>
        <v>82.3</v>
      </c>
      <c r="N96" s="8"/>
      <c r="O96" s="8"/>
    </row>
    <row r="97" spans="1:15" s="6" customFormat="1" ht="11.25">
      <c r="A97" s="104" t="s">
        <v>87</v>
      </c>
      <c r="B97" s="247">
        <f>B75</f>
        <v>1667.49</v>
      </c>
      <c r="C97" s="304">
        <f t="shared" si="25"/>
        <v>-6.5915660220932648E-2</v>
      </c>
      <c r="D97" s="247">
        <f>D75</f>
        <v>1785.16</v>
      </c>
      <c r="E97" s="247">
        <f>E75</f>
        <v>1579.83</v>
      </c>
      <c r="F97" s="304">
        <f t="shared" si="26"/>
        <v>-3.5124042654549492E-2</v>
      </c>
      <c r="G97" s="247">
        <f>G75</f>
        <v>1637.34</v>
      </c>
      <c r="H97" s="304">
        <f t="shared" si="14"/>
        <v>0.21929315044010544</v>
      </c>
      <c r="I97" s="109">
        <f>I75</f>
        <v>1342.86</v>
      </c>
      <c r="J97" s="304">
        <f t="shared" si="18"/>
        <v>7.390998368574242E-2</v>
      </c>
      <c r="K97" s="247">
        <f>K75</f>
        <v>1250.44</v>
      </c>
      <c r="L97" s="270">
        <f t="shared" si="22"/>
        <v>3.6410804717739609E-2</v>
      </c>
      <c r="M97" s="109">
        <f>M75</f>
        <v>1206.51</v>
      </c>
      <c r="N97" s="8"/>
      <c r="O97" s="8"/>
    </row>
    <row r="98" spans="1:15" s="2" customFormat="1" ht="11.25">
      <c r="A98" s="104" t="s">
        <v>107</v>
      </c>
      <c r="B98" s="247">
        <f>B76+B77+B78+B79+B80+B81+B82+B83+B84+B85</f>
        <v>2630.9300000000003</v>
      </c>
      <c r="C98" s="304">
        <f t="shared" si="25"/>
        <v>0.10098258300482943</v>
      </c>
      <c r="D98" s="247">
        <f>D76+D77+D78+D79+D80+D81+D82+D83+D84+D85</f>
        <v>2389.62</v>
      </c>
      <c r="E98" s="247">
        <f>E76+E77+E78+E79+E80+E81+E82+E83+E84+E85</f>
        <v>2450.27</v>
      </c>
      <c r="F98" s="304">
        <f t="shared" si="26"/>
        <v>9.8337434835424453E-2</v>
      </c>
      <c r="G98" s="247">
        <f>G76+G77+G78+G79+G80+G81+G82+G83+G84+G85</f>
        <v>2230.89</v>
      </c>
      <c r="H98" s="304">
        <f t="shared" si="14"/>
        <v>-0.16768084526905269</v>
      </c>
      <c r="I98" s="109">
        <f>I76+I77+I78+I79+I80+I81+I82+I83+I84+I85</f>
        <v>2680.33</v>
      </c>
      <c r="J98" s="304">
        <f t="shared" si="18"/>
        <v>0.53339588208035593</v>
      </c>
      <c r="K98" s="247">
        <f>K76+K77+K78+K79+K80+K81+K82+K83+K84+K85</f>
        <v>1747.97</v>
      </c>
      <c r="L98" s="270">
        <f t="shared" si="22"/>
        <v>2.2306311153740266E-2</v>
      </c>
      <c r="M98" s="109">
        <f>M76+M77+M78+M79+M80+M81+M82+M83+M84+M85</f>
        <v>1709.8300000000002</v>
      </c>
      <c r="N98" s="4"/>
      <c r="O98" s="4"/>
    </row>
    <row r="99" spans="1:15" s="2" customFormat="1" ht="11.25">
      <c r="A99" s="104" t="s">
        <v>108</v>
      </c>
      <c r="B99" s="247">
        <f>B86+B87+B88+B89+B90+B91</f>
        <v>321.51</v>
      </c>
      <c r="C99" s="304">
        <f t="shared" si="25"/>
        <v>-9.7541121652725549E-2</v>
      </c>
      <c r="D99" s="247">
        <f>D86+D87+D88+D89+D90+D91</f>
        <v>356.26</v>
      </c>
      <c r="E99" s="247">
        <f>E86+E87+E88+E89+E90+E91</f>
        <v>290.66999999999996</v>
      </c>
      <c r="F99" s="304">
        <f t="shared" si="26"/>
        <v>-4.3843123822573382E-3</v>
      </c>
      <c r="G99" s="247">
        <f>G86+G87+G88+G89+G90+G91</f>
        <v>291.95</v>
      </c>
      <c r="H99" s="304">
        <f t="shared" si="14"/>
        <v>-0.11794918275476607</v>
      </c>
      <c r="I99" s="109">
        <f>I86+I87+I88+I89+I90+I91</f>
        <v>330.99</v>
      </c>
      <c r="J99" s="304">
        <f t="shared" si="18"/>
        <v>-0.16916009839851398</v>
      </c>
      <c r="K99" s="247">
        <f>K86+K87+K88+K89+K90+K91</f>
        <v>398.38</v>
      </c>
      <c r="L99" s="270">
        <f t="shared" si="22"/>
        <v>-0.14870611363976327</v>
      </c>
      <c r="M99" s="109">
        <f>M86+M87+M88+M89+M90+M91</f>
        <v>467.97</v>
      </c>
      <c r="N99" s="4"/>
      <c r="O99" s="4"/>
    </row>
    <row r="100" spans="1:15" s="6" customFormat="1" ht="11.25">
      <c r="A100" s="290" t="s">
        <v>109</v>
      </c>
      <c r="B100" s="291">
        <f>B92+B93+B94+B95</f>
        <v>22.35</v>
      </c>
      <c r="C100" s="304">
        <f t="shared" si="25"/>
        <v>0.786570743405276</v>
      </c>
      <c r="D100" s="291">
        <f>D92+D93+D94+D95</f>
        <v>12.51</v>
      </c>
      <c r="E100" s="291">
        <f>E92+E93+E94+E95</f>
        <v>9.34</v>
      </c>
      <c r="F100" s="304">
        <f t="shared" si="26"/>
        <v>-0.41588492808005006</v>
      </c>
      <c r="G100" s="291">
        <f>G92+G93+G94+G95</f>
        <v>15.99</v>
      </c>
      <c r="H100" s="304">
        <f t="shared" si="14"/>
        <v>0.56611165523996076</v>
      </c>
      <c r="I100" s="291">
        <f>I92+I93+I94+I95</f>
        <v>10.210000000000001</v>
      </c>
      <c r="J100" s="304">
        <f t="shared" si="18"/>
        <v>1.5525000000000002</v>
      </c>
      <c r="K100" s="291">
        <f>K92+K93+K94+K95</f>
        <v>4</v>
      </c>
      <c r="L100" s="270">
        <f t="shared" si="22"/>
        <v>-0.63099630996309963</v>
      </c>
      <c r="M100" s="291">
        <f>M92+M93+M94+M95</f>
        <v>10.84</v>
      </c>
      <c r="N100" s="8"/>
      <c r="O100" s="8"/>
    </row>
    <row r="101" spans="1:15" s="94" customFormat="1" ht="10.35" customHeight="1">
      <c r="A101" s="92" t="s">
        <v>114</v>
      </c>
      <c r="B101" s="269">
        <f>SUM(B96:B100)</f>
        <v>4788.7700000000004</v>
      </c>
      <c r="C101" s="303">
        <f t="shared" si="25"/>
        <v>2.0383072205850672E-2</v>
      </c>
      <c r="D101" s="269">
        <f>SUM(D96:D100)</f>
        <v>4693.1100000000006</v>
      </c>
      <c r="E101" s="269">
        <f>SUM(E96:E100)</f>
        <v>4489.37</v>
      </c>
      <c r="F101" s="303">
        <f t="shared" si="26"/>
        <v>4.1375550916260995E-2</v>
      </c>
      <c r="G101" s="269">
        <f>SUM(G96:G100)</f>
        <v>4310.9999999999991</v>
      </c>
      <c r="H101" s="303">
        <f t="shared" si="14"/>
        <v>-4.3010155946500928E-2</v>
      </c>
      <c r="I101" s="269">
        <f>SUM(I96:I100)</f>
        <v>4504.7499999999991</v>
      </c>
      <c r="J101" s="303">
        <f t="shared" si="18"/>
        <v>0.29349826710426918</v>
      </c>
      <c r="K101" s="269">
        <f>SUM(K96:K100)</f>
        <v>3482.61</v>
      </c>
      <c r="L101" s="142">
        <f t="shared" ref="L101" si="27">IF((+K101/M101)&lt;0,"n.m.",IF(K101&lt;0,(+K101/M101-1)*-1,(+K101/M101-1)))</f>
        <v>1.4838459215802402E-3</v>
      </c>
      <c r="M101" s="269">
        <f>SUM(M96:M100)</f>
        <v>3477.4500000000007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7" fitToHeight="0" orientation="landscape" r:id="rId1"/>
  <headerFooter alignWithMargins="0">
    <oddHeader>&amp;A</oddHeader>
  </headerFooter>
  <rowBreaks count="2" manualBreakCount="2">
    <brk id="42" max="13" man="1"/>
    <brk id="7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1"/>
  <sheetViews>
    <sheetView view="pageBreakPreview" zoomScale="115" zoomScaleNormal="100" zoomScaleSheetLayoutView="115" workbookViewId="0">
      <pane xSplit="1" ySplit="1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baseColWidth="10" defaultColWidth="20.5703125" defaultRowHeight="12" customHeight="1" outlineLevelRow="1"/>
  <cols>
    <col min="1" max="1" width="20.5703125" style="56" customWidth="1"/>
    <col min="2" max="13" width="10.85546875" style="26" customWidth="1"/>
    <col min="14" max="16384" width="20.5703125" style="56"/>
  </cols>
  <sheetData>
    <row r="1" spans="1:14" s="55" customFormat="1" ht="24.75" customHeight="1">
      <c r="A1" s="23" t="s">
        <v>121</v>
      </c>
      <c r="B1" s="151" t="s">
        <v>159</v>
      </c>
      <c r="C1" s="151" t="s">
        <v>161</v>
      </c>
      <c r="D1" s="151" t="s">
        <v>158</v>
      </c>
      <c r="E1" s="151">
        <v>2019</v>
      </c>
      <c r="F1" s="151" t="s">
        <v>156</v>
      </c>
      <c r="G1" s="151">
        <v>2018</v>
      </c>
      <c r="H1" s="151" t="s">
        <v>151</v>
      </c>
      <c r="I1" s="151">
        <v>2017</v>
      </c>
      <c r="J1" s="151" t="s">
        <v>135</v>
      </c>
      <c r="K1" s="151">
        <v>2016</v>
      </c>
      <c r="L1" s="151" t="s">
        <v>130</v>
      </c>
      <c r="M1" s="1">
        <v>2015</v>
      </c>
    </row>
    <row r="2" spans="1:14" ht="3" hidden="1" customHeight="1" outlineLevel="1"/>
    <row r="3" spans="1:14" s="59" customFormat="1" ht="10.35" customHeight="1" collapsed="1">
      <c r="A3" s="57" t="s">
        <v>1</v>
      </c>
      <c r="B3" s="250">
        <f>B71</f>
        <v>1232.58</v>
      </c>
      <c r="C3" s="307">
        <f>IF((+B3/D3)&lt;0,"n.m.",IF(B3&lt;0,(+B3/D3-1)*-1,(+B3/D3-1)))</f>
        <v>-0.32730080936969586</v>
      </c>
      <c r="D3" s="250">
        <f>D71</f>
        <v>1832.29</v>
      </c>
      <c r="E3" s="250">
        <f>E71</f>
        <v>3450.5699999999997</v>
      </c>
      <c r="F3" s="307">
        <f>IF((+E3/G3)&lt;0,"n.m.",IF(E3&lt;0,(+E3/G3-1)*-1,(+E3/G3-1)))</f>
        <v>-7.7461700933080357E-2</v>
      </c>
      <c r="G3" s="250">
        <f>G71</f>
        <v>3740.3</v>
      </c>
      <c r="H3" s="307">
        <f>IF((+G3/I3)&lt;0,"n.m.",IF(G3&lt;0,(+G3/I3-1)*-1,(+G3/I3-1)))</f>
        <v>9.8947269452597908E-2</v>
      </c>
      <c r="I3" s="267">
        <f>I71</f>
        <v>3403.5299999999997</v>
      </c>
      <c r="J3" s="307">
        <f>IF((+I3/K3)&lt;0,"n.m.",IF(I3&lt;0,(+I3/K3-1)*-1,(+I3/K3-1)))</f>
        <v>7.8810988655705794E-2</v>
      </c>
      <c r="K3" s="267">
        <f>K71</f>
        <v>3154.8900000000003</v>
      </c>
      <c r="L3" s="278">
        <f t="shared" ref="L3:L7" si="0">IF((+K3/M3)&lt;0,"n.m.",IF(K3&lt;0,(+K3/M3-1)*-1,(+K3/M3-1)))</f>
        <v>-2.9297469931786724E-2</v>
      </c>
      <c r="M3" s="58">
        <f>M71</f>
        <v>3250.1099999999997</v>
      </c>
    </row>
    <row r="4" spans="1:14" s="59" customFormat="1" ht="10.35" customHeight="1">
      <c r="A4" s="57" t="s">
        <v>2</v>
      </c>
      <c r="B4" s="250">
        <f>B101</f>
        <v>5295.22</v>
      </c>
      <c r="C4" s="307">
        <f t="shared" ref="C4:C7" si="1">IF((+B4/D4)&lt;0,"n.m.",IF(B4&lt;0,(+B4/D4-1)*-1,(+B4/D4-1)))</f>
        <v>0.19985951237197508</v>
      </c>
      <c r="D4" s="250">
        <f>D101</f>
        <v>4413.2</v>
      </c>
      <c r="E4" s="250">
        <f>E101</f>
        <v>4110.7700000000004</v>
      </c>
      <c r="F4" s="307">
        <f t="shared" ref="F4:F7" si="2">IF((+E4/G4)&lt;0,"n.m.",IF(E4&lt;0,(+E4/G4-1)*-1,(+E4/G4-1)))</f>
        <v>8.6812376236315103E-2</v>
      </c>
      <c r="G4" s="250">
        <f>G101</f>
        <v>3782.41</v>
      </c>
      <c r="H4" s="307">
        <f t="shared" ref="H4:H7" si="3">IF((+G4/I4)&lt;0,"n.m.",IF(G4&lt;0,(+G4/I4-1)*-1,(+G4/I4-1)))</f>
        <v>-4.0905437238350495E-2</v>
      </c>
      <c r="I4" s="267">
        <f>I101</f>
        <v>3943.73</v>
      </c>
      <c r="J4" s="307">
        <f t="shared" ref="J4:J67" si="4">IF((+I4/K4)&lt;0,"n.m.",IF(I4&lt;0,(+I4/K4-1)*-1,(+I4/K4-1)))</f>
        <v>-8.1779383790806515E-2</v>
      </c>
      <c r="K4" s="267">
        <f>K101</f>
        <v>4294.97</v>
      </c>
      <c r="L4" s="278">
        <f t="shared" si="0"/>
        <v>9.8137180448742978E-3</v>
      </c>
      <c r="M4" s="58">
        <f>M101</f>
        <v>4253.2299999999996</v>
      </c>
    </row>
    <row r="5" spans="1:14" s="59" customFormat="1" ht="10.35" customHeight="1">
      <c r="A5" s="57" t="s">
        <v>3</v>
      </c>
      <c r="B5" s="250">
        <v>1226.1199999999999</v>
      </c>
      <c r="C5" s="307">
        <f t="shared" si="1"/>
        <v>-0.29897944598496329</v>
      </c>
      <c r="D5" s="250">
        <v>1749.05</v>
      </c>
      <c r="E5" s="250">
        <v>3216.67</v>
      </c>
      <c r="F5" s="307">
        <f t="shared" si="2"/>
        <v>-6.4328557050689072E-2</v>
      </c>
      <c r="G5" s="250">
        <v>3437.82</v>
      </c>
      <c r="H5" s="307">
        <f t="shared" si="3"/>
        <v>0.13484125255006041</v>
      </c>
      <c r="I5" s="267">
        <v>3029.34</v>
      </c>
      <c r="J5" s="307">
        <f t="shared" si="4"/>
        <v>0.12992070182244086</v>
      </c>
      <c r="K5" s="267">
        <v>2681.02</v>
      </c>
      <c r="L5" s="278">
        <f t="shared" si="0"/>
        <v>-3.9364272428670355E-2</v>
      </c>
      <c r="M5" s="58">
        <v>2790.8809999999999</v>
      </c>
    </row>
    <row r="6" spans="1:14" s="59" customFormat="1" ht="10.35" customHeight="1">
      <c r="A6" s="57" t="s">
        <v>116</v>
      </c>
      <c r="B6" s="250">
        <v>-73.44</v>
      </c>
      <c r="C6" s="307" t="str">
        <f t="shared" si="1"/>
        <v>n.m.</v>
      </c>
      <c r="D6" s="250">
        <v>123.36</v>
      </c>
      <c r="E6" s="250">
        <v>183.97</v>
      </c>
      <c r="F6" s="307">
        <f t="shared" si="2"/>
        <v>-7.4089918516691777E-2</v>
      </c>
      <c r="G6" s="250">
        <v>198.691</v>
      </c>
      <c r="H6" s="307">
        <f t="shared" si="3"/>
        <v>2.1841506410256413</v>
      </c>
      <c r="I6" s="267">
        <v>62.4</v>
      </c>
      <c r="J6" s="307">
        <f t="shared" si="4"/>
        <v>0.27685696746470234</v>
      </c>
      <c r="K6" s="267">
        <v>48.87</v>
      </c>
      <c r="L6" s="278">
        <f>IF((+K6/M6)&lt;0,"n.m.",IF(K6&lt;0,(+K6/M6-1)*-1,(+K6/M6-1)))</f>
        <v>4.4498589381892772E-2</v>
      </c>
      <c r="M6" s="58">
        <v>46.787999999999997</v>
      </c>
    </row>
    <row r="7" spans="1:14" s="59" customFormat="1" ht="10.35" customHeight="1">
      <c r="A7" s="57" t="s">
        <v>126</v>
      </c>
      <c r="B7" s="250">
        <v>-73.44</v>
      </c>
      <c r="C7" s="307" t="str">
        <f t="shared" si="1"/>
        <v>n.m.</v>
      </c>
      <c r="D7" s="250">
        <v>123.36</v>
      </c>
      <c r="E7" s="250">
        <v>183.97</v>
      </c>
      <c r="F7" s="307">
        <f t="shared" si="2"/>
        <v>-7.4089918516691777E-2</v>
      </c>
      <c r="G7" s="250">
        <v>198.691</v>
      </c>
      <c r="H7" s="307">
        <f t="shared" si="3"/>
        <v>2.1841506410256413</v>
      </c>
      <c r="I7" s="267">
        <v>62.4</v>
      </c>
      <c r="J7" s="307">
        <f t="shared" si="4"/>
        <v>0.27685696746470234</v>
      </c>
      <c r="K7" s="267">
        <v>48.87</v>
      </c>
      <c r="L7" s="278">
        <f t="shared" si="0"/>
        <v>4.4498589381892772E-2</v>
      </c>
      <c r="M7" s="58">
        <v>46.787999999999997</v>
      </c>
    </row>
    <row r="8" spans="1:14" ht="10.35" customHeight="1">
      <c r="A8" s="60" t="s">
        <v>117</v>
      </c>
      <c r="B8" s="243">
        <f>B6/B5</f>
        <v>-5.9896258115029528E-2</v>
      </c>
      <c r="C8" s="308"/>
      <c r="D8" s="243">
        <f>D6/D5</f>
        <v>7.0529716131614309E-2</v>
      </c>
      <c r="E8" s="243">
        <f>E6/E5</f>
        <v>5.7192686846956636E-2</v>
      </c>
      <c r="F8" s="308"/>
      <c r="G8" s="243">
        <f>G6/G5</f>
        <v>5.7795637933341477E-2</v>
      </c>
      <c r="H8" s="308"/>
      <c r="I8" s="243">
        <f>I6/I5</f>
        <v>2.0598546217988074E-2</v>
      </c>
      <c r="J8" s="308"/>
      <c r="K8" s="243">
        <f>K6/K5</f>
        <v>1.822813705231591E-2</v>
      </c>
      <c r="L8" s="243"/>
      <c r="M8" s="61">
        <f>M6/M5</f>
        <v>1.6764598705570032E-2</v>
      </c>
    </row>
    <row r="9" spans="1:14" ht="10.35" customHeight="1">
      <c r="A9" s="60" t="s">
        <v>118</v>
      </c>
      <c r="B9" s="244">
        <f>B3/Group!B2</f>
        <v>0.18341745931596054</v>
      </c>
      <c r="C9" s="462"/>
      <c r="D9" s="244">
        <f>D3/Group!D2</f>
        <v>0.24407785277454747</v>
      </c>
      <c r="E9" s="244">
        <f>E3/Group!E2</f>
        <v>0.20764088513819676</v>
      </c>
      <c r="F9" s="308"/>
      <c r="G9" s="62">
        <f>G3/Group!G2</f>
        <v>0.229144611735184</v>
      </c>
      <c r="H9" s="308"/>
      <c r="I9" s="244">
        <f>I3/Group!I2</f>
        <v>0.23278541867150357</v>
      </c>
      <c r="J9" s="308"/>
      <c r="K9" s="244">
        <f>K3/[1]Group!E2</f>
        <v>0.23385093651114852</v>
      </c>
      <c r="L9" s="244"/>
      <c r="M9" s="62">
        <f>M3/Group!M2</f>
        <v>0.22744328806082115</v>
      </c>
    </row>
    <row r="10" spans="1:14" ht="10.35" customHeight="1">
      <c r="A10" s="60" t="s">
        <v>119</v>
      </c>
      <c r="B10" s="244">
        <f>B4/Group!B3</f>
        <v>0.27238029396302771</v>
      </c>
      <c r="C10" s="462"/>
      <c r="D10" s="244">
        <f>D4/Group!D3</f>
        <v>0.24082145150966325</v>
      </c>
      <c r="E10" s="244">
        <f>E4/Group!E3</f>
        <v>0.23609538074879335</v>
      </c>
      <c r="F10" s="308"/>
      <c r="G10" s="62">
        <f>G4/Group!G3</f>
        <v>0.22381508321740431</v>
      </c>
      <c r="H10" s="308"/>
      <c r="I10" s="244">
        <f>I4/Group!I3</f>
        <v>0.2376905074593762</v>
      </c>
      <c r="J10" s="308"/>
      <c r="K10" s="244">
        <f>K4/[1]Group!E3</f>
        <v>0.28989139289906246</v>
      </c>
      <c r="L10" s="244"/>
      <c r="M10" s="62">
        <f>M4/Group!M3</f>
        <v>0.32381926182641541</v>
      </c>
    </row>
    <row r="11" spans="1:14" ht="10.35" customHeight="1">
      <c r="A11" s="60"/>
      <c r="B11" s="463"/>
      <c r="C11" s="462"/>
      <c r="D11" s="463"/>
      <c r="E11" s="385"/>
      <c r="F11" s="308"/>
      <c r="G11" s="385"/>
      <c r="H11" s="308"/>
      <c r="I11" s="63"/>
      <c r="J11" s="308"/>
      <c r="K11" s="63"/>
      <c r="L11" s="63"/>
      <c r="M11" s="63"/>
    </row>
    <row r="12" spans="1:14" s="59" customFormat="1" ht="10.35" customHeight="1">
      <c r="A12" s="57" t="s">
        <v>85</v>
      </c>
      <c r="B12" s="464"/>
      <c r="C12" s="462"/>
      <c r="D12" s="464"/>
      <c r="E12" s="64"/>
      <c r="F12" s="308"/>
      <c r="G12" s="64"/>
      <c r="H12" s="308"/>
      <c r="I12" s="64"/>
      <c r="J12" s="308"/>
      <c r="K12" s="64"/>
      <c r="L12" s="64"/>
      <c r="M12" s="64"/>
    </row>
    <row r="13" spans="1:14" s="2" customFormat="1" ht="11.25">
      <c r="A13" s="65" t="s">
        <v>86</v>
      </c>
      <c r="B13" s="248">
        <v>5471</v>
      </c>
      <c r="C13" s="308">
        <f>IF((+B13/D13)&lt;0,"n.m.",IF(B13&lt;0,(+B13/D13-1)*-1,(+B13/D13-1)))</f>
        <v>-0.333860952149032</v>
      </c>
      <c r="D13" s="248">
        <v>8213</v>
      </c>
      <c r="E13" s="248">
        <v>6900</v>
      </c>
      <c r="F13" s="308">
        <f>IF((+E13/G13)&lt;0,"n.m.",IF(E13&lt;0,(+E13/G13-1)*-1,(+E13/G13-1)))</f>
        <v>-0.166566010387728</v>
      </c>
      <c r="G13" s="248">
        <v>8279</v>
      </c>
      <c r="H13" s="308">
        <f>IF((+G13/I13)&lt;0,"n.m.",IF(G13&lt;0,(+G13/I13-1)*-1,(+G13/I13-1)))</f>
        <v>-8.6203090507726232E-2</v>
      </c>
      <c r="I13" s="248">
        <v>9060</v>
      </c>
      <c r="J13" s="308">
        <f t="shared" si="4"/>
        <v>-1.8524536886577847E-2</v>
      </c>
      <c r="K13" s="248">
        <v>9231</v>
      </c>
      <c r="L13" s="268">
        <f>IF((+K13/M13)&lt;0,"n.m.",IF(K13&lt;0,(+K13/M13-1)*-1,(+K13/M13-1)))</f>
        <v>-1.7351500958058375E-2</v>
      </c>
      <c r="M13" s="66">
        <v>9394</v>
      </c>
      <c r="N13" s="4"/>
    </row>
    <row r="14" spans="1:14" s="2" customFormat="1" ht="11.25">
      <c r="A14" s="65" t="s">
        <v>87</v>
      </c>
      <c r="B14" s="248">
        <v>2349</v>
      </c>
      <c r="C14" s="308">
        <f t="shared" ref="C14:C40" si="5">IF((+B14/D14)&lt;0,"n.m.",IF(B14&lt;0,(+B14/D14-1)*-1,(+B14/D14-1)))</f>
        <v>-6.0775689724110404E-2</v>
      </c>
      <c r="D14" s="248">
        <v>2501</v>
      </c>
      <c r="E14" s="248">
        <v>2472</v>
      </c>
      <c r="F14" s="308">
        <f t="shared" ref="F14:F40" si="6">IF((+E14/G14)&lt;0,"n.m.",IF(E14&lt;0,(+E14/G14-1)*-1,(+E14/G14-1)))</f>
        <v>-4.1117145073700567E-2</v>
      </c>
      <c r="G14" s="248">
        <v>2578</v>
      </c>
      <c r="H14" s="308">
        <f t="shared" ref="H14:H40" si="7">IF((+G14/I14)&lt;0,"n.m.",IF(G14&lt;0,(+G14/I14-1)*-1,(+G14/I14-1)))</f>
        <v>6.0032894736842035E-2</v>
      </c>
      <c r="I14" s="248">
        <v>2432</v>
      </c>
      <c r="J14" s="308">
        <f t="shared" si="4"/>
        <v>5.6013894919670015E-2</v>
      </c>
      <c r="K14" s="248">
        <v>2303</v>
      </c>
      <c r="L14" s="268">
        <f t="shared" ref="L14:L40" si="8">IF((+K14/M14)&lt;0,"n.m.",IF(K14&lt;0,(+K14/M14-1)*-1,(+K14/M14-1)))</f>
        <v>1.9477644975652852E-2</v>
      </c>
      <c r="M14" s="66">
        <v>2259</v>
      </c>
      <c r="N14" s="4"/>
    </row>
    <row r="15" spans="1:14" s="2" customFormat="1" ht="11.25">
      <c r="A15" s="65" t="s">
        <v>88</v>
      </c>
      <c r="B15" s="248">
        <v>805</v>
      </c>
      <c r="C15" s="308">
        <f t="shared" si="5"/>
        <v>9.0785907859078696E-2</v>
      </c>
      <c r="D15" s="248">
        <v>738</v>
      </c>
      <c r="E15" s="248">
        <v>821</v>
      </c>
      <c r="F15" s="308">
        <f t="shared" si="6"/>
        <v>0.63545816733067739</v>
      </c>
      <c r="G15" s="248">
        <v>502</v>
      </c>
      <c r="H15" s="308">
        <f t="shared" si="7"/>
        <v>7.4946466809421741E-2</v>
      </c>
      <c r="I15" s="248">
        <v>467</v>
      </c>
      <c r="J15" s="308">
        <f t="shared" si="4"/>
        <v>3.0905077262693093E-2</v>
      </c>
      <c r="K15" s="248">
        <v>453</v>
      </c>
      <c r="L15" s="268">
        <f t="shared" si="8"/>
        <v>-1.3071895424836555E-2</v>
      </c>
      <c r="M15" s="66">
        <v>459</v>
      </c>
      <c r="N15" s="4"/>
    </row>
    <row r="16" spans="1:14" s="2" customFormat="1" ht="11.25">
      <c r="A16" s="65" t="s">
        <v>89</v>
      </c>
      <c r="B16" s="248">
        <v>707</v>
      </c>
      <c r="C16" s="308">
        <f t="shared" si="5"/>
        <v>3.9705882352941257E-2</v>
      </c>
      <c r="D16" s="248">
        <v>680</v>
      </c>
      <c r="E16" s="248">
        <v>701</v>
      </c>
      <c r="F16" s="308">
        <f t="shared" si="6"/>
        <v>-3.5763411279229662E-2</v>
      </c>
      <c r="G16" s="248">
        <v>727</v>
      </c>
      <c r="H16" s="308">
        <f t="shared" si="7"/>
        <v>-4.109589041095929E-3</v>
      </c>
      <c r="I16" s="248">
        <v>730</v>
      </c>
      <c r="J16" s="308">
        <f t="shared" si="4"/>
        <v>-8.152173913043459E-3</v>
      </c>
      <c r="K16" s="248">
        <v>736</v>
      </c>
      <c r="L16" s="268">
        <f t="shared" si="8"/>
        <v>5.464480874316946E-3</v>
      </c>
      <c r="M16" s="66">
        <v>732</v>
      </c>
      <c r="N16" s="4"/>
    </row>
    <row r="17" spans="1:14" s="6" customFormat="1" ht="11.25">
      <c r="A17" s="65" t="s">
        <v>90</v>
      </c>
      <c r="B17" s="248">
        <v>531</v>
      </c>
      <c r="C17" s="308">
        <f t="shared" si="5"/>
        <v>1.3358778625954137E-2</v>
      </c>
      <c r="D17" s="248">
        <v>524</v>
      </c>
      <c r="E17" s="248">
        <v>532</v>
      </c>
      <c r="F17" s="308">
        <f t="shared" si="6"/>
        <v>-0.37850467289719625</v>
      </c>
      <c r="G17" s="248">
        <v>856</v>
      </c>
      <c r="H17" s="308">
        <f t="shared" si="7"/>
        <v>7.1339173967459368E-2</v>
      </c>
      <c r="I17" s="248">
        <v>799</v>
      </c>
      <c r="J17" s="308">
        <f t="shared" si="4"/>
        <v>8.7074829931972797E-2</v>
      </c>
      <c r="K17" s="248">
        <v>735</v>
      </c>
      <c r="L17" s="268">
        <f t="shared" si="8"/>
        <v>-1.8691588785046731E-2</v>
      </c>
      <c r="M17" s="66">
        <v>749</v>
      </c>
      <c r="N17" s="8"/>
    </row>
    <row r="18" spans="1:14" s="6" customFormat="1" ht="11.25">
      <c r="A18" s="65" t="s">
        <v>132</v>
      </c>
      <c r="B18" s="248">
        <v>32</v>
      </c>
      <c r="C18" s="308">
        <f t="shared" si="5"/>
        <v>0</v>
      </c>
      <c r="D18" s="248">
        <v>32</v>
      </c>
      <c r="E18" s="248">
        <v>30</v>
      </c>
      <c r="F18" s="308">
        <f t="shared" si="6"/>
        <v>-0.21052631578947367</v>
      </c>
      <c r="G18" s="248">
        <v>38</v>
      </c>
      <c r="H18" s="308">
        <f t="shared" si="7"/>
        <v>-0.70078740157480313</v>
      </c>
      <c r="I18" s="248">
        <v>127</v>
      </c>
      <c r="J18" s="308">
        <f t="shared" si="4"/>
        <v>-0.52611940298507465</v>
      </c>
      <c r="K18" s="248">
        <v>268</v>
      </c>
      <c r="L18" s="268">
        <f t="shared" si="8"/>
        <v>0.27014218009478674</v>
      </c>
      <c r="M18" s="66">
        <v>211</v>
      </c>
      <c r="N18" s="8"/>
    </row>
    <row r="19" spans="1:14" s="6" customFormat="1" ht="11.25">
      <c r="A19" s="65" t="s">
        <v>91</v>
      </c>
      <c r="B19" s="248">
        <v>356</v>
      </c>
      <c r="C19" s="308">
        <f t="shared" si="5"/>
        <v>-5.5865921787709993E-3</v>
      </c>
      <c r="D19" s="248">
        <v>358</v>
      </c>
      <c r="E19" s="248">
        <v>360</v>
      </c>
      <c r="F19" s="308">
        <f t="shared" si="6"/>
        <v>-1.098901098901095E-2</v>
      </c>
      <c r="G19" s="248">
        <v>364</v>
      </c>
      <c r="H19" s="308">
        <f t="shared" si="7"/>
        <v>-3.703703703703709E-2</v>
      </c>
      <c r="I19" s="248">
        <v>378</v>
      </c>
      <c r="J19" s="308">
        <f t="shared" si="4"/>
        <v>0.17757009345794383</v>
      </c>
      <c r="K19" s="248">
        <v>321</v>
      </c>
      <c r="L19" s="268">
        <f t="shared" si="8"/>
        <v>4.2207792207792139E-2</v>
      </c>
      <c r="M19" s="66">
        <v>308</v>
      </c>
      <c r="N19" s="8"/>
    </row>
    <row r="20" spans="1:14" s="6" customFormat="1" ht="11.25">
      <c r="A20" s="65" t="s">
        <v>92</v>
      </c>
      <c r="B20" s="248">
        <v>207</v>
      </c>
      <c r="C20" s="308">
        <f t="shared" si="5"/>
        <v>1.4705882352941124E-2</v>
      </c>
      <c r="D20" s="248">
        <v>204</v>
      </c>
      <c r="E20" s="248">
        <v>207</v>
      </c>
      <c r="F20" s="308">
        <f t="shared" si="6"/>
        <v>-9.5693779904306719E-3</v>
      </c>
      <c r="G20" s="248">
        <v>209</v>
      </c>
      <c r="H20" s="308">
        <f t="shared" si="7"/>
        <v>-4.1284403669724745E-2</v>
      </c>
      <c r="I20" s="248">
        <v>218</v>
      </c>
      <c r="J20" s="308">
        <f t="shared" si="4"/>
        <v>4.6082949308756671E-3</v>
      </c>
      <c r="K20" s="248">
        <v>217</v>
      </c>
      <c r="L20" s="268">
        <f t="shared" si="8"/>
        <v>-4.5871559633027248E-3</v>
      </c>
      <c r="M20" s="66">
        <v>218</v>
      </c>
      <c r="N20" s="8"/>
    </row>
    <row r="21" spans="1:14" s="6" customFormat="1" ht="11.25">
      <c r="A21" s="65" t="s">
        <v>93</v>
      </c>
      <c r="B21" s="248">
        <v>73</v>
      </c>
      <c r="C21" s="308">
        <f t="shared" si="5"/>
        <v>0.17741935483870974</v>
      </c>
      <c r="D21" s="248">
        <v>62</v>
      </c>
      <c r="E21" s="248">
        <v>61</v>
      </c>
      <c r="F21" s="308">
        <f t="shared" si="6"/>
        <v>5.1724137931034475E-2</v>
      </c>
      <c r="G21" s="248">
        <v>58</v>
      </c>
      <c r="H21" s="308">
        <f t="shared" si="7"/>
        <v>0.11538461538461542</v>
      </c>
      <c r="I21" s="248">
        <v>52</v>
      </c>
      <c r="J21" s="308">
        <f t="shared" si="4"/>
        <v>-0.46938775510204078</v>
      </c>
      <c r="K21" s="248">
        <v>98</v>
      </c>
      <c r="L21" s="268">
        <f t="shared" si="8"/>
        <v>-0.11711711711711714</v>
      </c>
      <c r="M21" s="66">
        <v>111</v>
      </c>
      <c r="N21" s="8"/>
    </row>
    <row r="22" spans="1:14" s="6" customFormat="1" ht="11.25">
      <c r="A22" s="65" t="s">
        <v>94</v>
      </c>
      <c r="B22" s="248">
        <v>16</v>
      </c>
      <c r="C22" s="308">
        <f t="shared" si="5"/>
        <v>0.77777777777777768</v>
      </c>
      <c r="D22" s="248">
        <v>9</v>
      </c>
      <c r="E22" s="248">
        <v>8</v>
      </c>
      <c r="F22" s="308">
        <f t="shared" si="6"/>
        <v>-0.33333333333333337</v>
      </c>
      <c r="G22" s="248">
        <v>12</v>
      </c>
      <c r="H22" s="308">
        <f t="shared" si="7"/>
        <v>-7.6923076923076872E-2</v>
      </c>
      <c r="I22" s="248">
        <v>13</v>
      </c>
      <c r="J22" s="308">
        <f t="shared" si="4"/>
        <v>-0.5</v>
      </c>
      <c r="K22" s="248">
        <v>26</v>
      </c>
      <c r="L22" s="268">
        <f t="shared" si="8"/>
        <v>4.0000000000000036E-2</v>
      </c>
      <c r="M22" s="66">
        <v>25</v>
      </c>
      <c r="N22" s="8"/>
    </row>
    <row r="23" spans="1:14" s="6" customFormat="1" ht="11.25">
      <c r="A23" s="65" t="s">
        <v>95</v>
      </c>
      <c r="B23" s="248">
        <v>42</v>
      </c>
      <c r="C23" s="308">
        <f t="shared" si="5"/>
        <v>0.10526315789473695</v>
      </c>
      <c r="D23" s="248">
        <v>38</v>
      </c>
      <c r="E23" s="248">
        <v>40</v>
      </c>
      <c r="F23" s="308">
        <f t="shared" si="6"/>
        <v>0.14285714285714279</v>
      </c>
      <c r="G23" s="248">
        <v>35</v>
      </c>
      <c r="H23" s="308">
        <f t="shared" si="7"/>
        <v>-2.777777777777779E-2</v>
      </c>
      <c r="I23" s="248">
        <v>36</v>
      </c>
      <c r="J23" s="308">
        <f t="shared" si="4"/>
        <v>-0.18181818181818177</v>
      </c>
      <c r="K23" s="248">
        <v>44</v>
      </c>
      <c r="L23" s="268">
        <f t="shared" si="8"/>
        <v>0.12820512820512819</v>
      </c>
      <c r="M23" s="66">
        <v>39</v>
      </c>
      <c r="N23" s="8"/>
    </row>
    <row r="24" spans="1:14" s="6" customFormat="1" ht="11.25">
      <c r="A24" s="65" t="s">
        <v>96</v>
      </c>
      <c r="B24" s="248">
        <v>30</v>
      </c>
      <c r="C24" s="308">
        <f t="shared" si="5"/>
        <v>0.11111111111111116</v>
      </c>
      <c r="D24" s="248">
        <v>27</v>
      </c>
      <c r="E24" s="248">
        <v>27</v>
      </c>
      <c r="F24" s="308">
        <f t="shared" si="6"/>
        <v>8.0000000000000071E-2</v>
      </c>
      <c r="G24" s="248">
        <v>25</v>
      </c>
      <c r="H24" s="308">
        <f t="shared" si="7"/>
        <v>0.13636363636363646</v>
      </c>
      <c r="I24" s="248">
        <v>22</v>
      </c>
      <c r="J24" s="308">
        <f t="shared" si="4"/>
        <v>0</v>
      </c>
      <c r="K24" s="248">
        <v>22</v>
      </c>
      <c r="L24" s="268">
        <f t="shared" si="8"/>
        <v>-4.3478260869565188E-2</v>
      </c>
      <c r="M24" s="66">
        <v>23</v>
      </c>
      <c r="N24" s="8"/>
    </row>
    <row r="25" spans="1:14" s="6" customFormat="1" ht="11.25">
      <c r="A25" s="65" t="s">
        <v>97</v>
      </c>
      <c r="B25" s="248">
        <v>3</v>
      </c>
      <c r="C25" s="308">
        <f t="shared" si="5"/>
        <v>-0.5</v>
      </c>
      <c r="D25" s="248">
        <v>6</v>
      </c>
      <c r="E25" s="248">
        <v>4</v>
      </c>
      <c r="F25" s="308">
        <f t="shared" si="6"/>
        <v>-0.6</v>
      </c>
      <c r="G25" s="248">
        <v>10</v>
      </c>
      <c r="H25" s="308">
        <f t="shared" si="7"/>
        <v>-0.75</v>
      </c>
      <c r="I25" s="248">
        <v>40</v>
      </c>
      <c r="J25" s="308">
        <f t="shared" si="4"/>
        <v>-0.32203389830508478</v>
      </c>
      <c r="K25" s="248">
        <v>59</v>
      </c>
      <c r="L25" s="268">
        <f t="shared" si="8"/>
        <v>-0.36559139784946237</v>
      </c>
      <c r="M25" s="66">
        <v>93</v>
      </c>
      <c r="N25" s="8"/>
    </row>
    <row r="26" spans="1:14" s="6" customFormat="1" ht="11.25">
      <c r="A26" s="65" t="s">
        <v>98</v>
      </c>
      <c r="B26" s="179">
        <v>33</v>
      </c>
      <c r="C26" s="308">
        <f t="shared" si="5"/>
        <v>-0.28260869565217395</v>
      </c>
      <c r="D26" s="179">
        <v>46</v>
      </c>
      <c r="E26" s="179">
        <v>43</v>
      </c>
      <c r="F26" s="308">
        <f t="shared" si="6"/>
        <v>2.3809523809523725E-2</v>
      </c>
      <c r="G26" s="179">
        <v>42</v>
      </c>
      <c r="H26" s="308">
        <f t="shared" si="7"/>
        <v>-0.1428571428571429</v>
      </c>
      <c r="I26" s="342">
        <v>49</v>
      </c>
      <c r="J26" s="308">
        <f t="shared" si="4"/>
        <v>-0.16949152542372881</v>
      </c>
      <c r="K26" s="342">
        <v>59</v>
      </c>
      <c r="L26" s="268">
        <f t="shared" si="8"/>
        <v>-1.6666666666666718E-2</v>
      </c>
      <c r="M26" s="68">
        <v>60</v>
      </c>
      <c r="N26" s="8"/>
    </row>
    <row r="27" spans="1:14" s="6" customFormat="1" ht="11.25">
      <c r="A27" s="65" t="s">
        <v>99</v>
      </c>
      <c r="B27" s="248">
        <v>65</v>
      </c>
      <c r="C27" s="308">
        <f t="shared" si="5"/>
        <v>8.3333333333333259E-2</v>
      </c>
      <c r="D27" s="248">
        <v>60</v>
      </c>
      <c r="E27" s="248">
        <v>62</v>
      </c>
      <c r="F27" s="308">
        <f t="shared" si="6"/>
        <v>0.58974358974358965</v>
      </c>
      <c r="G27" s="248">
        <v>39</v>
      </c>
      <c r="H27" s="308">
        <f t="shared" si="7"/>
        <v>1.4375</v>
      </c>
      <c r="I27" s="248">
        <v>16</v>
      </c>
      <c r="J27" s="308">
        <f t="shared" si="4"/>
        <v>-0.36</v>
      </c>
      <c r="K27" s="248">
        <v>25</v>
      </c>
      <c r="L27" s="268">
        <f t="shared" si="8"/>
        <v>8.6956521739130377E-2</v>
      </c>
      <c r="M27" s="66">
        <v>23</v>
      </c>
      <c r="N27" s="8"/>
    </row>
    <row r="28" spans="1:14" s="2" customFormat="1" ht="11.25">
      <c r="A28" s="65" t="s">
        <v>100</v>
      </c>
      <c r="B28" s="248">
        <v>168</v>
      </c>
      <c r="C28" s="308">
        <f t="shared" si="5"/>
        <v>0.41176470588235303</v>
      </c>
      <c r="D28" s="248">
        <v>119</v>
      </c>
      <c r="E28" s="248">
        <v>130</v>
      </c>
      <c r="F28" s="308">
        <f t="shared" si="6"/>
        <v>0.54761904761904767</v>
      </c>
      <c r="G28" s="248">
        <v>84</v>
      </c>
      <c r="H28" s="308">
        <f t="shared" si="7"/>
        <v>-0.37777777777777777</v>
      </c>
      <c r="I28" s="248">
        <v>135</v>
      </c>
      <c r="J28" s="308">
        <f t="shared" si="4"/>
        <v>-0.33497536945812811</v>
      </c>
      <c r="K28" s="248">
        <v>203</v>
      </c>
      <c r="L28" s="268">
        <f t="shared" si="8"/>
        <v>-0.30000000000000004</v>
      </c>
      <c r="M28" s="66">
        <v>290</v>
      </c>
      <c r="N28" s="4"/>
    </row>
    <row r="29" spans="1:14" s="6" customFormat="1" ht="11.25">
      <c r="A29" s="65" t="s">
        <v>101</v>
      </c>
      <c r="B29" s="248">
        <v>0</v>
      </c>
      <c r="C29" s="308"/>
      <c r="D29" s="248">
        <v>0</v>
      </c>
      <c r="E29" s="248">
        <v>0</v>
      </c>
      <c r="F29" s="308">
        <f t="shared" si="6"/>
        <v>-1</v>
      </c>
      <c r="G29" s="248">
        <v>1</v>
      </c>
      <c r="H29" s="308">
        <f t="shared" si="7"/>
        <v>-0.83333333333333337</v>
      </c>
      <c r="I29" s="248">
        <v>6</v>
      </c>
      <c r="J29" s="308">
        <f t="shared" si="4"/>
        <v>-0.5</v>
      </c>
      <c r="K29" s="248">
        <v>12</v>
      </c>
      <c r="L29" s="268">
        <f t="shared" si="8"/>
        <v>3</v>
      </c>
      <c r="M29" s="66">
        <v>3</v>
      </c>
      <c r="N29" s="8"/>
    </row>
    <row r="30" spans="1:14" s="6" customFormat="1" ht="11.25">
      <c r="A30" s="65" t="s">
        <v>102</v>
      </c>
      <c r="B30" s="248">
        <v>668</v>
      </c>
      <c r="C30" s="308">
        <f t="shared" si="5"/>
        <v>0.28461538461538471</v>
      </c>
      <c r="D30" s="248">
        <v>520</v>
      </c>
      <c r="E30" s="248">
        <v>567</v>
      </c>
      <c r="F30" s="308">
        <f t="shared" si="6"/>
        <v>0.46134020618556693</v>
      </c>
      <c r="G30" s="248">
        <v>388</v>
      </c>
      <c r="H30" s="308">
        <f t="shared" si="7"/>
        <v>0.17933130699088151</v>
      </c>
      <c r="I30" s="248">
        <v>329</v>
      </c>
      <c r="J30" s="308">
        <f t="shared" si="4"/>
        <v>1.2534246575342465</v>
      </c>
      <c r="K30" s="248">
        <v>146</v>
      </c>
      <c r="L30" s="268">
        <f t="shared" si="8"/>
        <v>0.22689075630252109</v>
      </c>
      <c r="M30" s="66">
        <v>119</v>
      </c>
      <c r="N30" s="8"/>
    </row>
    <row r="31" spans="1:14" s="6" customFormat="1" ht="11.25">
      <c r="A31" s="65" t="s">
        <v>103</v>
      </c>
      <c r="B31" s="248">
        <v>1750</v>
      </c>
      <c r="C31" s="308">
        <f t="shared" si="5"/>
        <v>-0.40657850118684302</v>
      </c>
      <c r="D31" s="248">
        <v>2949</v>
      </c>
      <c r="E31" s="248">
        <v>2681</v>
      </c>
      <c r="F31" s="308">
        <f t="shared" si="6"/>
        <v>-0.2798818157399946</v>
      </c>
      <c r="G31" s="248">
        <v>3723</v>
      </c>
      <c r="H31" s="308">
        <f t="shared" si="7"/>
        <v>-1.1417950079660066E-2</v>
      </c>
      <c r="I31" s="248">
        <v>3766</v>
      </c>
      <c r="J31" s="308">
        <f t="shared" si="4"/>
        <v>-0.16570669029685425</v>
      </c>
      <c r="K31" s="248">
        <v>4514</v>
      </c>
      <c r="L31" s="268">
        <f t="shared" si="8"/>
        <v>-0.21454672002784059</v>
      </c>
      <c r="M31" s="66">
        <v>5747</v>
      </c>
      <c r="N31" s="8"/>
    </row>
    <row r="32" spans="1:14" s="6" customFormat="1" ht="11.25">
      <c r="A32" s="65" t="s">
        <v>104</v>
      </c>
      <c r="B32" s="248">
        <v>7160</v>
      </c>
      <c r="C32" s="308">
        <f t="shared" si="5"/>
        <v>-4.2524739235089593E-2</v>
      </c>
      <c r="D32" s="248">
        <v>7478</v>
      </c>
      <c r="E32" s="248">
        <v>7603</v>
      </c>
      <c r="F32" s="308">
        <f t="shared" si="6"/>
        <v>0.16969230769230759</v>
      </c>
      <c r="G32" s="248">
        <v>6500</v>
      </c>
      <c r="H32" s="308">
        <f t="shared" si="7"/>
        <v>0.26213592233009719</v>
      </c>
      <c r="I32" s="248">
        <v>5150</v>
      </c>
      <c r="J32" s="308">
        <f t="shared" si="4"/>
        <v>4.0824575586095424E-2</v>
      </c>
      <c r="K32" s="248">
        <v>4948</v>
      </c>
      <c r="L32" s="268">
        <f t="shared" si="8"/>
        <v>0.19343945972021226</v>
      </c>
      <c r="M32" s="66">
        <v>4146</v>
      </c>
      <c r="N32" s="8"/>
    </row>
    <row r="33" spans="1:14" s="6" customFormat="1" ht="11.25">
      <c r="A33" s="65" t="s">
        <v>105</v>
      </c>
      <c r="B33" s="249">
        <v>779</v>
      </c>
      <c r="C33" s="308">
        <f t="shared" si="5"/>
        <v>-0.23477406679764246</v>
      </c>
      <c r="D33" s="249">
        <v>1018</v>
      </c>
      <c r="E33" s="249">
        <v>1053</v>
      </c>
      <c r="F33" s="308">
        <f t="shared" si="6"/>
        <v>6.6921606118546251E-3</v>
      </c>
      <c r="G33" s="249">
        <v>1046</v>
      </c>
      <c r="H33" s="308">
        <f t="shared" si="7"/>
        <v>-1.227573182247399E-2</v>
      </c>
      <c r="I33" s="249">
        <v>1059</v>
      </c>
      <c r="J33" s="308">
        <f t="shared" si="4"/>
        <v>0.19932049830124576</v>
      </c>
      <c r="K33" s="249">
        <v>883</v>
      </c>
      <c r="L33" s="268">
        <f t="shared" si="8"/>
        <v>-0.27265238879736409</v>
      </c>
      <c r="M33" s="71">
        <v>1214</v>
      </c>
      <c r="N33" s="8"/>
    </row>
    <row r="34" spans="1:14" s="6" customFormat="1" ht="11.25">
      <c r="A34" s="65" t="s">
        <v>106</v>
      </c>
      <c r="B34" s="249">
        <v>976</v>
      </c>
      <c r="C34" s="308">
        <f t="shared" si="5"/>
        <v>0.12183908045977021</v>
      </c>
      <c r="D34" s="249">
        <v>870</v>
      </c>
      <c r="E34" s="249">
        <v>917</v>
      </c>
      <c r="F34" s="308">
        <f t="shared" si="6"/>
        <v>0.201834862385321</v>
      </c>
      <c r="G34" s="249">
        <v>763</v>
      </c>
      <c r="H34" s="308">
        <f t="shared" si="7"/>
        <v>3.9509536784741117E-2</v>
      </c>
      <c r="I34" s="249">
        <v>734</v>
      </c>
      <c r="J34" s="308">
        <f t="shared" si="4"/>
        <v>1.3812154696132506E-2</v>
      </c>
      <c r="K34" s="249">
        <v>724</v>
      </c>
      <c r="L34" s="268">
        <f t="shared" si="8"/>
        <v>-0.15222482435597184</v>
      </c>
      <c r="M34" s="71">
        <v>854</v>
      </c>
      <c r="N34" s="8"/>
    </row>
    <row r="35" spans="1:14" s="6" customFormat="1" ht="11.25">
      <c r="A35" s="69" t="s">
        <v>86</v>
      </c>
      <c r="B35" s="72">
        <f>B13</f>
        <v>5471</v>
      </c>
      <c r="C35" s="308">
        <f t="shared" si="5"/>
        <v>-0.333860952149032</v>
      </c>
      <c r="D35" s="72">
        <f>D13</f>
        <v>8213</v>
      </c>
      <c r="E35" s="72">
        <f>E13</f>
        <v>6900</v>
      </c>
      <c r="F35" s="308">
        <f t="shared" si="6"/>
        <v>-0.166566010387728</v>
      </c>
      <c r="G35" s="72">
        <f>G13</f>
        <v>8279</v>
      </c>
      <c r="H35" s="308">
        <f t="shared" si="7"/>
        <v>-8.6203090507726232E-2</v>
      </c>
      <c r="I35" s="343">
        <f>I13</f>
        <v>9060</v>
      </c>
      <c r="J35" s="308">
        <f t="shared" si="4"/>
        <v>-1.8524536886577847E-2</v>
      </c>
      <c r="K35" s="343">
        <f>K13</f>
        <v>9231</v>
      </c>
      <c r="L35" s="268">
        <f t="shared" si="8"/>
        <v>-1.7351500958058375E-2</v>
      </c>
      <c r="M35" s="72">
        <f>M13</f>
        <v>9394</v>
      </c>
      <c r="N35" s="8"/>
    </row>
    <row r="36" spans="1:14" s="6" customFormat="1" ht="11.25">
      <c r="A36" s="69" t="s">
        <v>87</v>
      </c>
      <c r="B36" s="72">
        <f>B14</f>
        <v>2349</v>
      </c>
      <c r="C36" s="308">
        <f t="shared" si="5"/>
        <v>-6.0775689724110404E-2</v>
      </c>
      <c r="D36" s="72">
        <f>D14</f>
        <v>2501</v>
      </c>
      <c r="E36" s="72">
        <f>E14</f>
        <v>2472</v>
      </c>
      <c r="F36" s="308">
        <f t="shared" si="6"/>
        <v>-4.1117145073700567E-2</v>
      </c>
      <c r="G36" s="72">
        <f>G14</f>
        <v>2578</v>
      </c>
      <c r="H36" s="308">
        <f t="shared" si="7"/>
        <v>6.0032894736842035E-2</v>
      </c>
      <c r="I36" s="343">
        <f>I14</f>
        <v>2432</v>
      </c>
      <c r="J36" s="308">
        <f t="shared" si="4"/>
        <v>5.6013894919670015E-2</v>
      </c>
      <c r="K36" s="343">
        <f>K14</f>
        <v>2303</v>
      </c>
      <c r="L36" s="268">
        <f t="shared" si="8"/>
        <v>1.9477644975652852E-2</v>
      </c>
      <c r="M36" s="72">
        <f>M14</f>
        <v>2259</v>
      </c>
      <c r="N36" s="8"/>
    </row>
    <row r="37" spans="1:14" s="2" customFormat="1" ht="11.25">
      <c r="A37" s="69" t="s">
        <v>107</v>
      </c>
      <c r="B37" s="179">
        <f>B15+B16+B17+B18+B19+B20+B21+B22+B23+B24</f>
        <v>2799</v>
      </c>
      <c r="C37" s="308">
        <f t="shared" si="5"/>
        <v>4.7529940119760417E-2</v>
      </c>
      <c r="D37" s="179">
        <f>D15+D16+D17+D18+D19+D20+D21+D22+D23+D24</f>
        <v>2672</v>
      </c>
      <c r="E37" s="179">
        <f>E15+E16+E17+E18+E19+E20+E21+E22+E23+E24</f>
        <v>2787</v>
      </c>
      <c r="F37" s="308">
        <f t="shared" si="6"/>
        <v>-1.3800424628450103E-2</v>
      </c>
      <c r="G37" s="68">
        <f>G15+G16+G17+G18+G19+G20+G21+G22+G23+G24</f>
        <v>2826</v>
      </c>
      <c r="H37" s="308">
        <f t="shared" si="7"/>
        <v>-5.6298381421534538E-3</v>
      </c>
      <c r="I37" s="342">
        <f>I15+I16+I17+I18+I19+I20+I21+I22+I23+I24</f>
        <v>2842</v>
      </c>
      <c r="J37" s="308">
        <f t="shared" si="4"/>
        <v>-2.6712328767123261E-2</v>
      </c>
      <c r="K37" s="342">
        <f>K15+K16+K17+K18+K19+K20+K21+K22+K23+K24</f>
        <v>2920</v>
      </c>
      <c r="L37" s="268">
        <f t="shared" si="8"/>
        <v>1.5652173913043521E-2</v>
      </c>
      <c r="M37" s="68">
        <f>M15+M16+M17+M18+M19+M20+M21+M22+M23+M24</f>
        <v>2875</v>
      </c>
      <c r="N37" s="4"/>
    </row>
    <row r="38" spans="1:14" s="2" customFormat="1" ht="11.25">
      <c r="A38" s="69" t="s">
        <v>108</v>
      </c>
      <c r="B38" s="179">
        <f>B25+B26+B27+B28+B29+B30</f>
        <v>937</v>
      </c>
      <c r="C38" s="308">
        <f t="shared" si="5"/>
        <v>0.24766977363515319</v>
      </c>
      <c r="D38" s="179">
        <f>D25+D26+D27+D28+D29+D30</f>
        <v>751</v>
      </c>
      <c r="E38" s="179">
        <f>E25+E26+E27+E28+E29+E30</f>
        <v>806</v>
      </c>
      <c r="F38" s="308">
        <f t="shared" si="6"/>
        <v>0.42907801418439706</v>
      </c>
      <c r="G38" s="68">
        <f>G25+G26+G27+G28+G29+G30</f>
        <v>564</v>
      </c>
      <c r="H38" s="308">
        <f t="shared" si="7"/>
        <v>-1.9130434782608674E-2</v>
      </c>
      <c r="I38" s="342">
        <f>I25+I26+I27+I28+I29+I30</f>
        <v>575</v>
      </c>
      <c r="J38" s="308">
        <f t="shared" si="4"/>
        <v>0.14087301587301582</v>
      </c>
      <c r="K38" s="342">
        <f>K25+K26+K27+K28+K29+K30</f>
        <v>504</v>
      </c>
      <c r="L38" s="268">
        <f t="shared" si="8"/>
        <v>-0.1428571428571429</v>
      </c>
      <c r="M38" s="68">
        <f>M25+M26+M27+M28+M29+M30</f>
        <v>588</v>
      </c>
      <c r="N38" s="4"/>
    </row>
    <row r="39" spans="1:14" s="6" customFormat="1" ht="11.25">
      <c r="A39" s="69" t="s">
        <v>109</v>
      </c>
      <c r="B39" s="179">
        <f>B31+B32+B33+B34</f>
        <v>10665</v>
      </c>
      <c r="C39" s="308">
        <f t="shared" si="5"/>
        <v>-0.13398294762484775</v>
      </c>
      <c r="D39" s="179">
        <f>D31+D32+D33+D34</f>
        <v>12315</v>
      </c>
      <c r="E39" s="179">
        <f>E31+E32+E33+E34</f>
        <v>12254</v>
      </c>
      <c r="F39" s="308">
        <f t="shared" si="6"/>
        <v>1.8450797872340496E-2</v>
      </c>
      <c r="G39" s="68">
        <f>G31+G32+G33+G34</f>
        <v>12032</v>
      </c>
      <c r="H39" s="308">
        <f t="shared" si="7"/>
        <v>0.12354094686712114</v>
      </c>
      <c r="I39" s="342">
        <f>I31+I32+I33+I34</f>
        <v>10709</v>
      </c>
      <c r="J39" s="308">
        <f t="shared" si="4"/>
        <v>-3.2523263167404504E-2</v>
      </c>
      <c r="K39" s="342">
        <f>K31+K32+K33+K34</f>
        <v>11069</v>
      </c>
      <c r="L39" s="268">
        <f t="shared" si="8"/>
        <v>-7.4575704372544127E-2</v>
      </c>
      <c r="M39" s="68">
        <f>M31+M32+M33+M34</f>
        <v>11961</v>
      </c>
      <c r="N39" s="8"/>
    </row>
    <row r="40" spans="1:14" s="2" customFormat="1" ht="11.25">
      <c r="A40" s="73" t="s">
        <v>110</v>
      </c>
      <c r="B40" s="74">
        <f>SUM(B35:B39)</f>
        <v>22221</v>
      </c>
      <c r="C40" s="307">
        <f t="shared" si="5"/>
        <v>-0.15995009829124451</v>
      </c>
      <c r="D40" s="74">
        <f>SUM(D35:D39)</f>
        <v>26452</v>
      </c>
      <c r="E40" s="74">
        <f>SUM(E35:E39)</f>
        <v>25219</v>
      </c>
      <c r="F40" s="307">
        <f t="shared" si="6"/>
        <v>-4.0336390273602474E-2</v>
      </c>
      <c r="G40" s="74">
        <f>SUM(G35:G39)</f>
        <v>26279</v>
      </c>
      <c r="H40" s="307">
        <f t="shared" si="7"/>
        <v>2.5802170348973474E-2</v>
      </c>
      <c r="I40" s="344">
        <f>SUM(I35:I39)</f>
        <v>25618</v>
      </c>
      <c r="J40" s="307">
        <f t="shared" si="4"/>
        <v>-1.5714450378453093E-2</v>
      </c>
      <c r="K40" s="344">
        <f>SUM(K35:K39)</f>
        <v>26027</v>
      </c>
      <c r="L40" s="278">
        <f t="shared" si="8"/>
        <v>-3.8778298925287169E-2</v>
      </c>
      <c r="M40" s="74">
        <f>SUM(M35:M39)</f>
        <v>27077</v>
      </c>
      <c r="N40" s="4"/>
    </row>
    <row r="41" spans="1:14" s="81" customFormat="1" ht="11.25">
      <c r="A41" s="76" t="s">
        <v>120</v>
      </c>
      <c r="B41" s="77">
        <f>B40/Group!B155</f>
        <v>0.2999068737937457</v>
      </c>
      <c r="C41" s="308"/>
      <c r="D41" s="77">
        <f>D40/Group!D155</f>
        <v>0.34515514496724864</v>
      </c>
      <c r="E41" s="77">
        <f>E40/Group!E155</f>
        <v>0.32786437681197106</v>
      </c>
      <c r="F41" s="308"/>
      <c r="G41" s="77">
        <f>G40/Group!G155</f>
        <v>0.34825072886297376</v>
      </c>
      <c r="H41" s="308"/>
      <c r="I41" s="341">
        <f>I40/Group!I155</f>
        <v>0.3513936135191485</v>
      </c>
      <c r="J41" s="308"/>
      <c r="K41" s="341">
        <f>K40/[1]Group!E152</f>
        <v>0.36229624577179526</v>
      </c>
      <c r="L41" s="341"/>
      <c r="M41" s="77">
        <f>M40/Group!M155</f>
        <v>0.36932414921912299</v>
      </c>
      <c r="N41" s="80"/>
    </row>
    <row r="42" spans="1:14" ht="12" customHeight="1">
      <c r="A42" s="60"/>
      <c r="B42" s="465"/>
      <c r="C42" s="462"/>
      <c r="D42" s="465"/>
      <c r="E42" s="63"/>
      <c r="F42" s="308"/>
      <c r="G42" s="63"/>
      <c r="H42" s="308"/>
      <c r="I42" s="63"/>
      <c r="J42" s="308"/>
      <c r="K42" s="63"/>
      <c r="L42" s="63"/>
      <c r="M42" s="63"/>
    </row>
    <row r="43" spans="1:14" s="59" customFormat="1" ht="12" customHeight="1">
      <c r="A43" s="73" t="s">
        <v>1</v>
      </c>
      <c r="B43" s="464"/>
      <c r="C43" s="462"/>
      <c r="D43" s="464"/>
      <c r="E43" s="64"/>
      <c r="F43" s="308"/>
      <c r="G43" s="64"/>
      <c r="H43" s="308"/>
      <c r="I43" s="64"/>
      <c r="J43" s="308"/>
      <c r="K43" s="64"/>
      <c r="L43" s="64"/>
      <c r="M43" s="64"/>
    </row>
    <row r="44" spans="1:14" s="2" customFormat="1" ht="11.25">
      <c r="A44" s="65" t="s">
        <v>86</v>
      </c>
      <c r="B44" s="251">
        <v>397.64</v>
      </c>
      <c r="C44" s="308">
        <f t="shared" ref="C44:C71" si="9">IF((+B44/D44)&lt;0,"n.m.",IF(B44&lt;0,(+B44/D44-1)*-1,(+B44/D44-1)))</f>
        <v>-0.44455153724734253</v>
      </c>
      <c r="D44" s="251">
        <v>715.89</v>
      </c>
      <c r="E44" s="251">
        <v>1207.05</v>
      </c>
      <c r="F44" s="308">
        <f t="shared" ref="F44:F71" si="10">IF((+E44/G44)&lt;0,"n.m.",IF(E44&lt;0,(+E44/G44-1)*-1,(+E44/G44-1)))</f>
        <v>-0.17529823314794823</v>
      </c>
      <c r="G44" s="251">
        <v>1463.62</v>
      </c>
      <c r="H44" s="308">
        <f t="shared" ref="H44:H101" si="11">IF((+G44/I44)&lt;0,"n.m.",IF(G44&lt;0,(+G44/I44-1)*-1,(+G44/I44-1)))</f>
        <v>3.1252998505886254E-3</v>
      </c>
      <c r="I44" s="251">
        <v>1459.06</v>
      </c>
      <c r="J44" s="308">
        <f t="shared" si="4"/>
        <v>3.3701974509206645E-2</v>
      </c>
      <c r="K44" s="251">
        <v>1411.49</v>
      </c>
      <c r="L44" s="268">
        <f t="shared" ref="L44:L71" si="12">IF((+K44/M44)&lt;0,"n.m.",IF(K44&lt;0,(+K44/M44-1)*-1,(+K44/M44-1)))</f>
        <v>1.2910823100440449E-3</v>
      </c>
      <c r="M44" s="82">
        <v>1409.67</v>
      </c>
      <c r="N44" s="4"/>
    </row>
    <row r="45" spans="1:14" s="2" customFormat="1" ht="11.25">
      <c r="A45" s="65" t="s">
        <v>87</v>
      </c>
      <c r="B45" s="251">
        <v>184.01</v>
      </c>
      <c r="C45" s="308">
        <f t="shared" si="9"/>
        <v>-0.17116346110535563</v>
      </c>
      <c r="D45" s="251">
        <v>222.01</v>
      </c>
      <c r="E45" s="251">
        <v>447.96</v>
      </c>
      <c r="F45" s="308">
        <f t="shared" si="10"/>
        <v>-0.11503585610146394</v>
      </c>
      <c r="G45" s="251">
        <v>506.19</v>
      </c>
      <c r="H45" s="308">
        <f t="shared" si="11"/>
        <v>7.2230181470869237E-3</v>
      </c>
      <c r="I45" s="251">
        <v>502.56</v>
      </c>
      <c r="J45" s="308">
        <f t="shared" si="4"/>
        <v>0.32510678690080685</v>
      </c>
      <c r="K45" s="251">
        <v>379.26</v>
      </c>
      <c r="L45" s="268">
        <f t="shared" si="12"/>
        <v>7.8791671407441033E-2</v>
      </c>
      <c r="M45" s="82">
        <v>351.56</v>
      </c>
      <c r="N45" s="4"/>
    </row>
    <row r="46" spans="1:14" s="2" customFormat="1" ht="11.25">
      <c r="A46" s="65" t="s">
        <v>88</v>
      </c>
      <c r="B46" s="251">
        <v>37.200000000000003</v>
      </c>
      <c r="C46" s="308">
        <f t="shared" si="9"/>
        <v>-8.5320875338086966E-2</v>
      </c>
      <c r="D46" s="251">
        <v>40.67</v>
      </c>
      <c r="E46" s="251">
        <v>118.67</v>
      </c>
      <c r="F46" s="308">
        <f t="shared" si="10"/>
        <v>0.60755892712002146</v>
      </c>
      <c r="G46" s="251">
        <v>73.820000000000007</v>
      </c>
      <c r="H46" s="308">
        <f t="shared" si="11"/>
        <v>0.28718395815170017</v>
      </c>
      <c r="I46" s="251">
        <v>57.35</v>
      </c>
      <c r="J46" s="308">
        <f t="shared" si="4"/>
        <v>0.16093117408906887</v>
      </c>
      <c r="K46" s="251">
        <v>49.4</v>
      </c>
      <c r="L46" s="268">
        <f t="shared" si="12"/>
        <v>-0.21362623368354028</v>
      </c>
      <c r="M46" s="82">
        <v>62.82</v>
      </c>
      <c r="N46" s="4"/>
    </row>
    <row r="47" spans="1:14" s="2" customFormat="1" ht="11.25">
      <c r="A47" s="65" t="s">
        <v>89</v>
      </c>
      <c r="B47" s="251">
        <v>59.34</v>
      </c>
      <c r="C47" s="308">
        <f t="shared" si="9"/>
        <v>3.5782859137720502E-2</v>
      </c>
      <c r="D47" s="251">
        <v>57.29</v>
      </c>
      <c r="E47" s="251">
        <v>140.69999999999999</v>
      </c>
      <c r="F47" s="308">
        <f t="shared" si="10"/>
        <v>-2.3730224812656187E-2</v>
      </c>
      <c r="G47" s="251">
        <v>144.12</v>
      </c>
      <c r="H47" s="308">
        <f t="shared" si="11"/>
        <v>0.23084806559057136</v>
      </c>
      <c r="I47" s="251">
        <v>117.09</v>
      </c>
      <c r="J47" s="308">
        <f t="shared" si="4"/>
        <v>0.13734822729480323</v>
      </c>
      <c r="K47" s="251">
        <v>102.95</v>
      </c>
      <c r="L47" s="268">
        <f t="shared" si="12"/>
        <v>-8.6512866015971635E-2</v>
      </c>
      <c r="M47" s="82">
        <v>112.7</v>
      </c>
      <c r="N47" s="4"/>
    </row>
    <row r="48" spans="1:14" s="6" customFormat="1" ht="11.25">
      <c r="A48" s="65" t="s">
        <v>90</v>
      </c>
      <c r="B48" s="251">
        <v>63.62</v>
      </c>
      <c r="C48" s="308">
        <f t="shared" si="9"/>
        <v>-9.088310945984579E-2</v>
      </c>
      <c r="D48" s="251">
        <v>69.98</v>
      </c>
      <c r="E48" s="251">
        <v>157.71</v>
      </c>
      <c r="F48" s="308">
        <f t="shared" si="10"/>
        <v>-3.156278784157196E-2</v>
      </c>
      <c r="G48" s="251">
        <v>162.85</v>
      </c>
      <c r="H48" s="308">
        <f t="shared" si="11"/>
        <v>0.20952168746286404</v>
      </c>
      <c r="I48" s="251">
        <v>134.63999999999999</v>
      </c>
      <c r="J48" s="308">
        <f t="shared" si="4"/>
        <v>0.21868211440984786</v>
      </c>
      <c r="K48" s="251">
        <v>110.48</v>
      </c>
      <c r="L48" s="268">
        <f t="shared" si="12"/>
        <v>-6.6339896898504169E-2</v>
      </c>
      <c r="M48" s="82">
        <v>118.33</v>
      </c>
      <c r="N48" s="8"/>
    </row>
    <row r="49" spans="1:14" s="6" customFormat="1" ht="11.25">
      <c r="A49" s="65" t="s">
        <v>132</v>
      </c>
      <c r="B49" s="251">
        <v>1.53</v>
      </c>
      <c r="C49" s="308">
        <f t="shared" si="9"/>
        <v>5.5172413793103559E-2</v>
      </c>
      <c r="D49" s="251">
        <v>1.45</v>
      </c>
      <c r="E49" s="251">
        <v>3.07</v>
      </c>
      <c r="F49" s="308">
        <f t="shared" si="10"/>
        <v>-0.49754500818330616</v>
      </c>
      <c r="G49" s="251">
        <v>6.11</v>
      </c>
      <c r="H49" s="308">
        <f t="shared" si="11"/>
        <v>-0.89782608695652177</v>
      </c>
      <c r="I49" s="251">
        <v>59.8</v>
      </c>
      <c r="J49" s="308">
        <f t="shared" si="4"/>
        <v>0.94282001299545137</v>
      </c>
      <c r="K49" s="251">
        <v>30.78</v>
      </c>
      <c r="L49" s="268">
        <f t="shared" si="12"/>
        <v>2.9160305343511452</v>
      </c>
      <c r="M49" s="82">
        <v>7.86</v>
      </c>
      <c r="N49" s="8"/>
    </row>
    <row r="50" spans="1:14" s="6" customFormat="1" ht="11.25">
      <c r="A50" s="65" t="s">
        <v>91</v>
      </c>
      <c r="B50" s="251">
        <v>16.8</v>
      </c>
      <c r="C50" s="308">
        <f t="shared" si="9"/>
        <v>-0.14241960183767222</v>
      </c>
      <c r="D50" s="251">
        <v>19.59</v>
      </c>
      <c r="E50" s="251">
        <v>46.77</v>
      </c>
      <c r="F50" s="308">
        <f t="shared" si="10"/>
        <v>-0.10264773599386023</v>
      </c>
      <c r="G50" s="251">
        <v>52.12</v>
      </c>
      <c r="H50" s="308">
        <f t="shared" si="11"/>
        <v>-0.12726054922973884</v>
      </c>
      <c r="I50" s="251">
        <v>59.72</v>
      </c>
      <c r="J50" s="308">
        <f t="shared" si="4"/>
        <v>0.53364149974319464</v>
      </c>
      <c r="K50" s="251">
        <v>38.94</v>
      </c>
      <c r="L50" s="268">
        <f t="shared" si="12"/>
        <v>-0.2098214285714286</v>
      </c>
      <c r="M50" s="82">
        <v>49.28</v>
      </c>
      <c r="N50" s="8"/>
    </row>
    <row r="51" spans="1:14" s="6" customFormat="1" ht="11.25">
      <c r="A51" s="65" t="s">
        <v>92</v>
      </c>
      <c r="B51" s="251">
        <v>11.88</v>
      </c>
      <c r="C51" s="308">
        <f t="shared" si="9"/>
        <v>6.0714285714285943E-2</v>
      </c>
      <c r="D51" s="251">
        <v>11.2</v>
      </c>
      <c r="E51" s="251">
        <v>29.34</v>
      </c>
      <c r="F51" s="308">
        <f t="shared" si="10"/>
        <v>7.5907590759075827E-2</v>
      </c>
      <c r="G51" s="251">
        <v>27.27</v>
      </c>
      <c r="H51" s="308">
        <f t="shared" si="11"/>
        <v>0.11716509627201965</v>
      </c>
      <c r="I51" s="251">
        <v>24.41</v>
      </c>
      <c r="J51" s="308">
        <f t="shared" si="4"/>
        <v>-6.1153846153846114E-2</v>
      </c>
      <c r="K51" s="251">
        <v>26</v>
      </c>
      <c r="L51" s="268">
        <f t="shared" si="12"/>
        <v>-0.11983750846310082</v>
      </c>
      <c r="M51" s="82">
        <v>29.54</v>
      </c>
      <c r="N51" s="8"/>
    </row>
    <row r="52" spans="1:14" s="6" customFormat="1" ht="11.25">
      <c r="A52" s="65" t="s">
        <v>93</v>
      </c>
      <c r="B52" s="251">
        <v>5.76</v>
      </c>
      <c r="C52" s="308">
        <f t="shared" si="9"/>
        <v>-0.48479427549194987</v>
      </c>
      <c r="D52" s="251">
        <v>11.18</v>
      </c>
      <c r="E52" s="251">
        <v>18.66</v>
      </c>
      <c r="F52" s="308">
        <f t="shared" si="10"/>
        <v>0.32246633593196328</v>
      </c>
      <c r="G52" s="251">
        <v>14.11</v>
      </c>
      <c r="H52" s="308">
        <f t="shared" si="11"/>
        <v>0.18871103622577912</v>
      </c>
      <c r="I52" s="251">
        <v>11.870000000000001</v>
      </c>
      <c r="J52" s="308">
        <f t="shared" si="4"/>
        <v>0.14908034849951601</v>
      </c>
      <c r="K52" s="251">
        <v>10.33</v>
      </c>
      <c r="L52" s="268">
        <f t="shared" si="12"/>
        <v>-9.3064091308165064E-2</v>
      </c>
      <c r="M52" s="82">
        <v>11.39</v>
      </c>
      <c r="N52" s="8"/>
    </row>
    <row r="53" spans="1:14" s="6" customFormat="1" ht="11.25">
      <c r="A53" s="65" t="s">
        <v>94</v>
      </c>
      <c r="B53" s="251">
        <v>3.24</v>
      </c>
      <c r="C53" s="308">
        <f t="shared" si="9"/>
        <v>0.11340206185567014</v>
      </c>
      <c r="D53" s="251">
        <v>2.91</v>
      </c>
      <c r="E53" s="251">
        <v>6.07</v>
      </c>
      <c r="F53" s="308">
        <f t="shared" si="10"/>
        <v>-0.19389110225763606</v>
      </c>
      <c r="G53" s="251">
        <v>7.53</v>
      </c>
      <c r="H53" s="308">
        <f t="shared" si="11"/>
        <v>4.0000000000000036E-3</v>
      </c>
      <c r="I53" s="251">
        <v>7.5</v>
      </c>
      <c r="J53" s="308">
        <f t="shared" si="4"/>
        <v>-0.4887525562372188</v>
      </c>
      <c r="K53" s="251">
        <v>14.67</v>
      </c>
      <c r="L53" s="268">
        <f t="shared" si="12"/>
        <v>0.52178423236514515</v>
      </c>
      <c r="M53" s="82">
        <v>9.64</v>
      </c>
      <c r="N53" s="8"/>
    </row>
    <row r="54" spans="1:14" s="6" customFormat="1" ht="11.25">
      <c r="A54" s="65" t="s">
        <v>95</v>
      </c>
      <c r="B54" s="251">
        <v>0.33</v>
      </c>
      <c r="C54" s="308">
        <f t="shared" si="9"/>
        <v>-8.3333333333333259E-2</v>
      </c>
      <c r="D54" s="251">
        <v>0.36</v>
      </c>
      <c r="E54" s="251">
        <v>1.02</v>
      </c>
      <c r="F54" s="308">
        <f t="shared" si="10"/>
        <v>6.25E-2</v>
      </c>
      <c r="G54" s="251">
        <v>0.96</v>
      </c>
      <c r="H54" s="308">
        <f t="shared" si="11"/>
        <v>0.21518987341772133</v>
      </c>
      <c r="I54" s="251">
        <v>0.79</v>
      </c>
      <c r="J54" s="308">
        <f t="shared" si="4"/>
        <v>-0.76900584795321636</v>
      </c>
      <c r="K54" s="251">
        <v>3.42</v>
      </c>
      <c r="L54" s="268">
        <f t="shared" si="12"/>
        <v>0.37349397590361422</v>
      </c>
      <c r="M54" s="82">
        <v>2.4900000000000002</v>
      </c>
      <c r="N54" s="8"/>
    </row>
    <row r="55" spans="1:14" s="6" customFormat="1" ht="11.25">
      <c r="A55" s="65" t="s">
        <v>96</v>
      </c>
      <c r="B55" s="251">
        <v>2.2799999999999998</v>
      </c>
      <c r="C55" s="308">
        <f t="shared" si="9"/>
        <v>-5.7851239669421517E-2</v>
      </c>
      <c r="D55" s="251">
        <v>2.42</v>
      </c>
      <c r="E55" s="251">
        <v>4.8600000000000003</v>
      </c>
      <c r="F55" s="308">
        <f t="shared" si="10"/>
        <v>0.11981566820276512</v>
      </c>
      <c r="G55" s="251">
        <v>4.34</v>
      </c>
      <c r="H55" s="308">
        <f t="shared" si="11"/>
        <v>0.25797101449275361</v>
      </c>
      <c r="I55" s="251">
        <v>3.4499999999999997</v>
      </c>
      <c r="J55" s="308">
        <f t="shared" si="4"/>
        <v>0.37450199203187262</v>
      </c>
      <c r="K55" s="251">
        <v>2.5099999999999998</v>
      </c>
      <c r="L55" s="268">
        <f t="shared" si="12"/>
        <v>-2.3346303501945553E-2</v>
      </c>
      <c r="M55" s="82">
        <v>2.57</v>
      </c>
      <c r="N55" s="8"/>
    </row>
    <row r="56" spans="1:14" s="6" customFormat="1" ht="11.25">
      <c r="A56" s="65" t="s">
        <v>97</v>
      </c>
      <c r="B56" s="251">
        <v>0.93</v>
      </c>
      <c r="C56" s="308">
        <f t="shared" si="9"/>
        <v>-0.17699115044247771</v>
      </c>
      <c r="D56" s="251">
        <v>1.1299999999999999</v>
      </c>
      <c r="E56" s="251">
        <v>2.2599999999999998</v>
      </c>
      <c r="F56" s="308">
        <f t="shared" si="10"/>
        <v>-0.33918128654970769</v>
      </c>
      <c r="G56" s="251">
        <v>3.42</v>
      </c>
      <c r="H56" s="308">
        <f t="shared" si="11"/>
        <v>-0.75036496350364956</v>
      </c>
      <c r="I56" s="251">
        <v>13.7</v>
      </c>
      <c r="J56" s="308">
        <f t="shared" si="4"/>
        <v>-0.39460892620415378</v>
      </c>
      <c r="K56" s="251">
        <v>22.63</v>
      </c>
      <c r="L56" s="268">
        <f t="shared" si="12"/>
        <v>-0.27699680511182112</v>
      </c>
      <c r="M56" s="82">
        <v>31.3</v>
      </c>
      <c r="N56" s="8"/>
    </row>
    <row r="57" spans="1:14" s="6" customFormat="1" ht="11.25">
      <c r="A57" s="65" t="s">
        <v>98</v>
      </c>
      <c r="B57" s="180">
        <v>6.25</v>
      </c>
      <c r="C57" s="308">
        <f t="shared" si="9"/>
        <v>-0.664519592055824</v>
      </c>
      <c r="D57" s="180">
        <v>18.63</v>
      </c>
      <c r="E57" s="180">
        <v>29.32</v>
      </c>
      <c r="F57" s="308">
        <f t="shared" si="10"/>
        <v>-0.16822695035460988</v>
      </c>
      <c r="G57" s="180">
        <v>35.25</v>
      </c>
      <c r="H57" s="308">
        <f t="shared" si="11"/>
        <v>1.465034965034965</v>
      </c>
      <c r="I57" s="252">
        <v>14.3</v>
      </c>
      <c r="J57" s="308">
        <f t="shared" si="4"/>
        <v>-0.78450874020494266</v>
      </c>
      <c r="K57" s="252">
        <v>66.36</v>
      </c>
      <c r="L57" s="268">
        <f t="shared" si="12"/>
        <v>-8.9462129527991152E-2</v>
      </c>
      <c r="M57" s="83">
        <v>72.88</v>
      </c>
      <c r="N57" s="8"/>
    </row>
    <row r="58" spans="1:14" s="6" customFormat="1" ht="11.25">
      <c r="A58" s="65" t="s">
        <v>99</v>
      </c>
      <c r="B58" s="251">
        <v>12.17</v>
      </c>
      <c r="C58" s="308">
        <f t="shared" si="9"/>
        <v>0.42840375586854473</v>
      </c>
      <c r="D58" s="251">
        <v>8.52</v>
      </c>
      <c r="E58" s="251">
        <v>22.63</v>
      </c>
      <c r="F58" s="308">
        <f t="shared" si="10"/>
        <v>1.6686320754716979</v>
      </c>
      <c r="G58" s="251">
        <v>8.48</v>
      </c>
      <c r="H58" s="308">
        <f t="shared" si="11"/>
        <v>0.94495412844036686</v>
      </c>
      <c r="I58" s="251">
        <v>4.3600000000000003</v>
      </c>
      <c r="J58" s="308">
        <f t="shared" si="4"/>
        <v>-0.6955307262569832</v>
      </c>
      <c r="K58" s="251">
        <v>14.32</v>
      </c>
      <c r="L58" s="268">
        <f t="shared" si="12"/>
        <v>-0.49912556838055266</v>
      </c>
      <c r="M58" s="82">
        <v>28.59</v>
      </c>
      <c r="N58" s="8"/>
    </row>
    <row r="59" spans="1:14" s="2" customFormat="1" ht="11.25">
      <c r="A59" s="65" t="s">
        <v>100</v>
      </c>
      <c r="B59" s="251">
        <v>23.99</v>
      </c>
      <c r="C59" s="308">
        <f t="shared" si="9"/>
        <v>-0.33007539793353824</v>
      </c>
      <c r="D59" s="251">
        <v>35.81</v>
      </c>
      <c r="E59" s="251">
        <v>-11.17</v>
      </c>
      <c r="F59" s="308" t="str">
        <f t="shared" si="10"/>
        <v>n.m.</v>
      </c>
      <c r="G59" s="251">
        <v>63.09</v>
      </c>
      <c r="H59" s="308">
        <f t="shared" si="11"/>
        <v>8.7196277787351395E-2</v>
      </c>
      <c r="I59" s="251">
        <v>58.03</v>
      </c>
      <c r="J59" s="308">
        <f t="shared" si="4"/>
        <v>-0.22263898191560616</v>
      </c>
      <c r="K59" s="251">
        <v>74.650000000000006</v>
      </c>
      <c r="L59" s="268">
        <f t="shared" si="12"/>
        <v>-0.58793331861338038</v>
      </c>
      <c r="M59" s="82">
        <v>181.16</v>
      </c>
      <c r="N59" s="4"/>
    </row>
    <row r="60" spans="1:14" s="6" customFormat="1" ht="11.25">
      <c r="A60" s="65" t="s">
        <v>101</v>
      </c>
      <c r="B60" s="251">
        <v>1.81</v>
      </c>
      <c r="C60" s="308">
        <f t="shared" si="9"/>
        <v>0.21476510067114107</v>
      </c>
      <c r="D60" s="251">
        <v>1.49</v>
      </c>
      <c r="E60" s="251">
        <v>2.76</v>
      </c>
      <c r="F60" s="308">
        <f t="shared" si="10"/>
        <v>-0.33812949640287771</v>
      </c>
      <c r="G60" s="251">
        <v>4.17</v>
      </c>
      <c r="H60" s="308">
        <f t="shared" si="11"/>
        <v>-0.43032786885245899</v>
      </c>
      <c r="I60" s="251">
        <v>7.32</v>
      </c>
      <c r="J60" s="308">
        <f t="shared" si="4"/>
        <v>-8.8418430884184218E-2</v>
      </c>
      <c r="K60" s="251">
        <v>8.0299999999999994</v>
      </c>
      <c r="L60" s="268">
        <f t="shared" si="12"/>
        <v>0.53831417624521061</v>
      </c>
      <c r="M60" s="82">
        <v>5.22</v>
      </c>
      <c r="N60" s="8"/>
    </row>
    <row r="61" spans="1:14" s="6" customFormat="1" ht="11.25">
      <c r="A61" s="65" t="s">
        <v>102</v>
      </c>
      <c r="B61" s="251">
        <v>78.53</v>
      </c>
      <c r="C61" s="308">
        <f t="shared" si="9"/>
        <v>-0.16917054591620817</v>
      </c>
      <c r="D61" s="251">
        <v>94.52</v>
      </c>
      <c r="E61" s="251">
        <v>178.92000000000002</v>
      </c>
      <c r="F61" s="308">
        <f t="shared" si="10"/>
        <v>0.52936148388751181</v>
      </c>
      <c r="G61" s="251">
        <v>116.99000000000001</v>
      </c>
      <c r="H61" s="308">
        <f t="shared" si="11"/>
        <v>0.79377491567003999</v>
      </c>
      <c r="I61" s="251">
        <v>65.22</v>
      </c>
      <c r="J61" s="308">
        <f t="shared" si="4"/>
        <v>1.1624668435013263</v>
      </c>
      <c r="K61" s="251">
        <v>30.16</v>
      </c>
      <c r="L61" s="268">
        <f t="shared" si="12"/>
        <v>0.70011273957158981</v>
      </c>
      <c r="M61" s="82">
        <v>17.739999999999998</v>
      </c>
      <c r="N61" s="8"/>
    </row>
    <row r="62" spans="1:14" s="6" customFormat="1" ht="11.25">
      <c r="A62" s="65" t="s">
        <v>103</v>
      </c>
      <c r="B62" s="251">
        <v>50.72</v>
      </c>
      <c r="C62" s="308">
        <f t="shared" si="9"/>
        <v>-0.28744029221691492</v>
      </c>
      <c r="D62" s="251">
        <v>71.180000000000007</v>
      </c>
      <c r="E62" s="251">
        <v>141.69</v>
      </c>
      <c r="F62" s="308">
        <f t="shared" si="10"/>
        <v>-0.28399615948254076</v>
      </c>
      <c r="G62" s="251">
        <v>197.89</v>
      </c>
      <c r="H62" s="308">
        <f t="shared" si="11"/>
        <v>-0.32036267472610513</v>
      </c>
      <c r="I62" s="251">
        <v>291.17</v>
      </c>
      <c r="J62" s="308">
        <f t="shared" si="4"/>
        <v>0.17568440604053959</v>
      </c>
      <c r="K62" s="251">
        <v>247.66</v>
      </c>
      <c r="L62" s="268">
        <f t="shared" si="12"/>
        <v>-0.12752765447755943</v>
      </c>
      <c r="M62" s="82">
        <v>283.86</v>
      </c>
      <c r="N62" s="8"/>
    </row>
    <row r="63" spans="1:14" s="6" customFormat="1" ht="11.25">
      <c r="A63" s="65" t="s">
        <v>104</v>
      </c>
      <c r="B63" s="251">
        <v>206.41</v>
      </c>
      <c r="C63" s="308">
        <f t="shared" si="9"/>
        <v>-0.40739571071746439</v>
      </c>
      <c r="D63" s="251">
        <v>348.31</v>
      </c>
      <c r="E63" s="251">
        <v>678.03</v>
      </c>
      <c r="F63" s="308">
        <f t="shared" si="10"/>
        <v>4.029028645074173E-2</v>
      </c>
      <c r="G63" s="251">
        <v>651.77</v>
      </c>
      <c r="H63" s="308">
        <f t="shared" si="11"/>
        <v>0.73048534409515709</v>
      </c>
      <c r="I63" s="251">
        <v>376.64</v>
      </c>
      <c r="J63" s="308">
        <f t="shared" si="4"/>
        <v>0.10962495949091111</v>
      </c>
      <c r="K63" s="251">
        <v>339.43</v>
      </c>
      <c r="L63" s="268">
        <f t="shared" si="12"/>
        <v>0.21281309179261809</v>
      </c>
      <c r="M63" s="82">
        <v>279.87</v>
      </c>
      <c r="N63" s="8"/>
    </row>
    <row r="64" spans="1:14" s="6" customFormat="1" ht="11.25">
      <c r="A64" s="65" t="s">
        <v>105</v>
      </c>
      <c r="B64" s="253">
        <v>25.24</v>
      </c>
      <c r="C64" s="308">
        <f t="shared" si="9"/>
        <v>-0.214441332088391</v>
      </c>
      <c r="D64" s="253">
        <v>32.130000000000003</v>
      </c>
      <c r="E64" s="253">
        <v>62.36</v>
      </c>
      <c r="F64" s="308">
        <f t="shared" si="10"/>
        <v>0.25751159507965315</v>
      </c>
      <c r="G64" s="253">
        <v>49.59</v>
      </c>
      <c r="H64" s="308">
        <f t="shared" si="11"/>
        <v>0.16709814073899754</v>
      </c>
      <c r="I64" s="253">
        <v>42.49</v>
      </c>
      <c r="J64" s="308">
        <f t="shared" si="4"/>
        <v>-0.10150137449777963</v>
      </c>
      <c r="K64" s="253">
        <v>47.29</v>
      </c>
      <c r="L64" s="268">
        <f t="shared" si="12"/>
        <v>-0.49352040269893971</v>
      </c>
      <c r="M64" s="84">
        <v>93.37</v>
      </c>
      <c r="N64" s="8"/>
    </row>
    <row r="65" spans="1:14" s="6" customFormat="1" ht="11.25">
      <c r="A65" s="65" t="s">
        <v>106</v>
      </c>
      <c r="B65" s="253">
        <v>42.9</v>
      </c>
      <c r="C65" s="308">
        <f t="shared" si="9"/>
        <v>-0.34623590368790014</v>
      </c>
      <c r="D65" s="253">
        <v>65.62</v>
      </c>
      <c r="E65" s="253">
        <v>161.89000000000001</v>
      </c>
      <c r="F65" s="308">
        <f t="shared" si="10"/>
        <v>0.10422208580587955</v>
      </c>
      <c r="G65" s="253">
        <v>146.61000000000001</v>
      </c>
      <c r="H65" s="308">
        <f t="shared" si="11"/>
        <v>0.59254833804040863</v>
      </c>
      <c r="I65" s="253">
        <v>92.06</v>
      </c>
      <c r="J65" s="308">
        <f t="shared" si="4"/>
        <v>-0.25835817288326746</v>
      </c>
      <c r="K65" s="253">
        <v>124.13</v>
      </c>
      <c r="L65" s="268">
        <f t="shared" si="12"/>
        <v>0.40625354027415894</v>
      </c>
      <c r="M65" s="84">
        <v>88.27</v>
      </c>
      <c r="N65" s="8"/>
    </row>
    <row r="66" spans="1:14" s="6" customFormat="1" ht="11.25">
      <c r="A66" s="69" t="s">
        <v>86</v>
      </c>
      <c r="B66" s="181">
        <f>B44</f>
        <v>397.64</v>
      </c>
      <c r="C66" s="308">
        <f t="shared" si="9"/>
        <v>-0.44455153724734253</v>
      </c>
      <c r="D66" s="181">
        <f>D44</f>
        <v>715.89</v>
      </c>
      <c r="E66" s="181">
        <f>E44</f>
        <v>1207.05</v>
      </c>
      <c r="F66" s="308">
        <f t="shared" si="10"/>
        <v>-0.17529823314794823</v>
      </c>
      <c r="G66" s="85">
        <f>G44</f>
        <v>1463.62</v>
      </c>
      <c r="H66" s="308">
        <f t="shared" si="11"/>
        <v>3.1252998505886254E-3</v>
      </c>
      <c r="I66" s="345">
        <f>I44</f>
        <v>1459.06</v>
      </c>
      <c r="J66" s="308">
        <f t="shared" si="4"/>
        <v>3.3701974509206645E-2</v>
      </c>
      <c r="K66" s="345">
        <f>K44</f>
        <v>1411.49</v>
      </c>
      <c r="L66" s="268">
        <f t="shared" si="12"/>
        <v>1.2910823100440449E-3</v>
      </c>
      <c r="M66" s="85">
        <f>M44</f>
        <v>1409.67</v>
      </c>
      <c r="N66" s="8"/>
    </row>
    <row r="67" spans="1:14" s="6" customFormat="1" ht="11.25">
      <c r="A67" s="69" t="s">
        <v>87</v>
      </c>
      <c r="B67" s="181">
        <f>B45</f>
        <v>184.01</v>
      </c>
      <c r="C67" s="308">
        <f t="shared" si="9"/>
        <v>-0.17116346110535563</v>
      </c>
      <c r="D67" s="181">
        <f>D45</f>
        <v>222.01</v>
      </c>
      <c r="E67" s="181">
        <f>E45</f>
        <v>447.96</v>
      </c>
      <c r="F67" s="308">
        <f t="shared" si="10"/>
        <v>-0.11503585610146394</v>
      </c>
      <c r="G67" s="85">
        <f>G45</f>
        <v>506.19</v>
      </c>
      <c r="H67" s="308">
        <f t="shared" si="11"/>
        <v>7.2230181470869237E-3</v>
      </c>
      <c r="I67" s="345">
        <f>I45</f>
        <v>502.56</v>
      </c>
      <c r="J67" s="308">
        <f t="shared" si="4"/>
        <v>0.32510678690080685</v>
      </c>
      <c r="K67" s="345">
        <f>K45</f>
        <v>379.26</v>
      </c>
      <c r="L67" s="268">
        <f t="shared" si="12"/>
        <v>7.8791671407441033E-2</v>
      </c>
      <c r="M67" s="85">
        <f>M45</f>
        <v>351.56</v>
      </c>
      <c r="N67" s="8"/>
    </row>
    <row r="68" spans="1:14" s="2" customFormat="1" ht="11.25">
      <c r="A68" s="69" t="s">
        <v>107</v>
      </c>
      <c r="B68" s="180">
        <f>B46+B47+B48+B49+B50+B51+B52+B53+B54+B55</f>
        <v>201.98000000000002</v>
      </c>
      <c r="C68" s="308">
        <f t="shared" si="9"/>
        <v>-6.9431006680488183E-2</v>
      </c>
      <c r="D68" s="180">
        <f>D46+D47+D48+D49+D50+D51+D52+D53+D54+D55</f>
        <v>217.04999999999998</v>
      </c>
      <c r="E68" s="180">
        <f>E46+E47+E48+E49+E50+E51+E52+E53+E54+E55</f>
        <v>526.87</v>
      </c>
      <c r="F68" s="308">
        <f t="shared" si="10"/>
        <v>6.8203475052207141E-2</v>
      </c>
      <c r="G68" s="83">
        <f>G46+G47+G48+G49+G50+G51+G52+G53+G54+G55</f>
        <v>493.2299999999999</v>
      </c>
      <c r="H68" s="308">
        <f t="shared" si="11"/>
        <v>3.4849565691745799E-2</v>
      </c>
      <c r="I68" s="252">
        <f>I46+I47+I48+I49+I50+I51+I52+I53+I54+I55</f>
        <v>476.62000000000006</v>
      </c>
      <c r="J68" s="308">
        <f t="shared" ref="J68:J101" si="13">IF((+I68/K68)&lt;0,"n.m.",IF(I68&lt;0,(+I68/K68-1)*-1,(+I68/K68-1)))</f>
        <v>0.22373420971551816</v>
      </c>
      <c r="K68" s="252">
        <f>K46+K47+K48+K49+K50+K51+K52+K53+K54+K55</f>
        <v>389.48</v>
      </c>
      <c r="L68" s="268">
        <f t="shared" si="12"/>
        <v>-4.2152378141753988E-2</v>
      </c>
      <c r="M68" s="83">
        <f>M46+M47+M48+M49+M50+M51+M52+M53+M54+M55</f>
        <v>406.62</v>
      </c>
      <c r="N68" s="4"/>
    </row>
    <row r="69" spans="1:14" s="2" customFormat="1" ht="11.25">
      <c r="A69" s="69" t="s">
        <v>108</v>
      </c>
      <c r="B69" s="180">
        <f>B56+B57+B58+B59+B60+B61</f>
        <v>123.68</v>
      </c>
      <c r="C69" s="308">
        <f t="shared" si="9"/>
        <v>-0.22748282323547775</v>
      </c>
      <c r="D69" s="180">
        <f>D56+D57+D58+D59+D60+D61</f>
        <v>160.1</v>
      </c>
      <c r="E69" s="180">
        <f>E56+E57+E58+E59+E60+E61</f>
        <v>224.72</v>
      </c>
      <c r="F69" s="308">
        <f t="shared" si="10"/>
        <v>-2.8867761452031293E-2</v>
      </c>
      <c r="G69" s="83">
        <f>G56+G57+G58+G59+G60+G61</f>
        <v>231.40000000000003</v>
      </c>
      <c r="H69" s="308">
        <f t="shared" si="11"/>
        <v>0.42024182164119583</v>
      </c>
      <c r="I69" s="252">
        <f>I56+I57+I58+I59+I60+I61</f>
        <v>162.93</v>
      </c>
      <c r="J69" s="308">
        <f t="shared" si="13"/>
        <v>-0.24621790423317136</v>
      </c>
      <c r="K69" s="252">
        <f>K56+K57+K58+K59+K60+K61</f>
        <v>216.15</v>
      </c>
      <c r="L69" s="268">
        <f t="shared" si="12"/>
        <v>-0.35839591558075334</v>
      </c>
      <c r="M69" s="83">
        <f>M56+M57+M58+M59+M60+M61</f>
        <v>336.89</v>
      </c>
      <c r="N69" s="4"/>
    </row>
    <row r="70" spans="1:14" s="6" customFormat="1" ht="11.25">
      <c r="A70" s="69" t="s">
        <v>109</v>
      </c>
      <c r="B70" s="180">
        <f>B62+B63+B64+B65</f>
        <v>325.27</v>
      </c>
      <c r="C70" s="308">
        <f t="shared" si="9"/>
        <v>-0.37114298971463933</v>
      </c>
      <c r="D70" s="180">
        <f>D62+D63+D64+D65</f>
        <v>517.24</v>
      </c>
      <c r="E70" s="180">
        <f>E62+E63+E64+E65</f>
        <v>1043.97</v>
      </c>
      <c r="F70" s="308">
        <f t="shared" si="10"/>
        <v>-1.8071252366474999E-3</v>
      </c>
      <c r="G70" s="83">
        <f>G62+G63+G64+G65</f>
        <v>1045.8600000000001</v>
      </c>
      <c r="H70" s="308">
        <f t="shared" si="11"/>
        <v>0.30347973478239232</v>
      </c>
      <c r="I70" s="252">
        <f>I62+I63+I64+I65</f>
        <v>802.3599999999999</v>
      </c>
      <c r="J70" s="308">
        <f t="shared" si="13"/>
        <v>5.7810707835097563E-2</v>
      </c>
      <c r="K70" s="252">
        <f>K62+K63+K64+K65</f>
        <v>758.51</v>
      </c>
      <c r="L70" s="268">
        <f t="shared" si="12"/>
        <v>1.7628828635442684E-2</v>
      </c>
      <c r="M70" s="83">
        <f>M62+M63+M64+M65</f>
        <v>745.37</v>
      </c>
      <c r="N70" s="8"/>
    </row>
    <row r="71" spans="1:14" s="59" customFormat="1" ht="10.35" customHeight="1">
      <c r="A71" s="73" t="s">
        <v>113</v>
      </c>
      <c r="B71" s="250">
        <f>SUM(B66:B70)</f>
        <v>1232.58</v>
      </c>
      <c r="C71" s="307">
        <f t="shared" si="9"/>
        <v>-0.32730080936969586</v>
      </c>
      <c r="D71" s="250">
        <f>SUM(D66:D70)</f>
        <v>1832.29</v>
      </c>
      <c r="E71" s="250">
        <f>SUM(E66:E70)</f>
        <v>3450.5699999999997</v>
      </c>
      <c r="F71" s="307">
        <f t="shared" si="10"/>
        <v>-7.7461700933080357E-2</v>
      </c>
      <c r="G71" s="86">
        <f>SUM(G66:G70)</f>
        <v>3740.3</v>
      </c>
      <c r="H71" s="307">
        <f t="shared" si="11"/>
        <v>9.8947269452597908E-2</v>
      </c>
      <c r="I71" s="250">
        <f>SUM(I66:I70)</f>
        <v>3403.5299999999997</v>
      </c>
      <c r="J71" s="307">
        <f t="shared" si="13"/>
        <v>7.8810988655705794E-2</v>
      </c>
      <c r="K71" s="250">
        <f>SUM(K66:K70)</f>
        <v>3154.8900000000003</v>
      </c>
      <c r="L71" s="278">
        <f t="shared" si="12"/>
        <v>-2.9297469931786724E-2</v>
      </c>
      <c r="M71" s="86">
        <f>SUM(M66:M70)</f>
        <v>3250.1099999999997</v>
      </c>
    </row>
    <row r="72" spans="1:14" ht="10.35" customHeight="1">
      <c r="A72" s="65"/>
      <c r="B72" s="467"/>
      <c r="C72" s="462"/>
      <c r="D72" s="467"/>
      <c r="E72" s="69"/>
      <c r="F72" s="308"/>
      <c r="G72" s="69"/>
      <c r="H72" s="308"/>
      <c r="I72" s="69"/>
      <c r="J72" s="308"/>
      <c r="K72" s="69"/>
      <c r="L72" s="69"/>
      <c r="M72" s="69"/>
    </row>
    <row r="73" spans="1:14" ht="10.35" customHeight="1">
      <c r="A73" s="87" t="s">
        <v>2</v>
      </c>
      <c r="B73" s="466"/>
      <c r="C73" s="462"/>
      <c r="D73" s="468"/>
      <c r="E73" s="251"/>
      <c r="F73" s="308"/>
      <c r="G73" s="88"/>
      <c r="H73" s="308"/>
      <c r="I73" s="88"/>
      <c r="J73" s="308"/>
      <c r="K73" s="88"/>
      <c r="L73" s="88"/>
      <c r="M73" s="88"/>
    </row>
    <row r="74" spans="1:14" s="2" customFormat="1" ht="11.25">
      <c r="A74" s="65" t="s">
        <v>86</v>
      </c>
      <c r="B74" s="251">
        <v>945.32</v>
      </c>
      <c r="C74" s="308">
        <f t="shared" ref="C74:C78" si="14">IF((+B74/D74)&lt;0,"n.m.",IF(B74&lt;0,(+B74/D74-1)*-1,(+B74/D74-1)))</f>
        <v>0.14580075876028764</v>
      </c>
      <c r="D74" s="251">
        <v>825.03</v>
      </c>
      <c r="E74" s="251">
        <v>851.34</v>
      </c>
      <c r="F74" s="308">
        <f t="shared" ref="F74:F95" si="15">IF((+E74/G74)&lt;0,"n.m.",IF(E74&lt;0,(+E74/G74-1)*-1,(+E74/G74-1)))</f>
        <v>-0.17490623273664718</v>
      </c>
      <c r="G74" s="251">
        <v>1031.81</v>
      </c>
      <c r="H74" s="308">
        <f t="shared" si="11"/>
        <v>-1.4074951745752684E-2</v>
      </c>
      <c r="I74" s="251">
        <v>1046.54</v>
      </c>
      <c r="J74" s="308">
        <f t="shared" si="13"/>
        <v>-0.14901610017889089</v>
      </c>
      <c r="K74" s="251">
        <v>1229.8</v>
      </c>
      <c r="L74" s="268">
        <f t="shared" ref="L74:L101" si="16">IF((+K74/M74)&lt;0,"n.m.",IF(K74&lt;0,(+K74/M74-1)*-1,(+K74/M74-1)))</f>
        <v>5.8466093452796075E-2</v>
      </c>
      <c r="M74" s="82">
        <v>1161.8699999999999</v>
      </c>
      <c r="N74" s="4"/>
    </row>
    <row r="75" spans="1:14" s="2" customFormat="1" ht="11.25">
      <c r="A75" s="65" t="s">
        <v>87</v>
      </c>
      <c r="B75" s="251">
        <v>277.55</v>
      </c>
      <c r="C75" s="308">
        <f t="shared" si="14"/>
        <v>-0.13740054699154647</v>
      </c>
      <c r="D75" s="251">
        <v>321.76</v>
      </c>
      <c r="E75" s="251">
        <v>299.25</v>
      </c>
      <c r="F75" s="308">
        <f t="shared" si="15"/>
        <v>-0.24883277272955473</v>
      </c>
      <c r="G75" s="251">
        <v>398.38</v>
      </c>
      <c r="H75" s="308">
        <f t="shared" si="11"/>
        <v>-0.36503028371055146</v>
      </c>
      <c r="I75" s="251">
        <v>627.4</v>
      </c>
      <c r="J75" s="308">
        <f t="shared" si="13"/>
        <v>9.0997617681325638E-2</v>
      </c>
      <c r="K75" s="251">
        <v>575.07000000000005</v>
      </c>
      <c r="L75" s="268">
        <f t="shared" si="16"/>
        <v>0.13830166270783861</v>
      </c>
      <c r="M75" s="82">
        <v>505.2</v>
      </c>
      <c r="N75" s="4"/>
    </row>
    <row r="76" spans="1:14" s="2" customFormat="1" ht="11.25">
      <c r="A76" s="65" t="s">
        <v>88</v>
      </c>
      <c r="B76" s="251">
        <v>79.650000000000006</v>
      </c>
      <c r="C76" s="308">
        <f t="shared" si="14"/>
        <v>1.457574822585622</v>
      </c>
      <c r="D76" s="251">
        <v>32.409999999999997</v>
      </c>
      <c r="E76" s="251">
        <v>42.97</v>
      </c>
      <c r="F76" s="308">
        <f t="shared" si="15"/>
        <v>1.4852515905147481</v>
      </c>
      <c r="G76" s="251">
        <v>17.290000000000003</v>
      </c>
      <c r="H76" s="308">
        <f t="shared" si="11"/>
        <v>-0.18366383380547668</v>
      </c>
      <c r="I76" s="251">
        <v>21.18</v>
      </c>
      <c r="J76" s="308">
        <f t="shared" si="13"/>
        <v>8.0061193268740505E-2</v>
      </c>
      <c r="K76" s="251">
        <v>19.61</v>
      </c>
      <c r="L76" s="268">
        <f t="shared" si="16"/>
        <v>-0.54416550441655054</v>
      </c>
      <c r="M76" s="82">
        <v>43.02</v>
      </c>
      <c r="N76" s="4"/>
    </row>
    <row r="77" spans="1:14" s="2" customFormat="1" ht="11.25">
      <c r="A77" s="65" t="s">
        <v>89</v>
      </c>
      <c r="B77" s="251">
        <v>17.45</v>
      </c>
      <c r="C77" s="308">
        <f t="shared" si="14"/>
        <v>-0.27713338856669434</v>
      </c>
      <c r="D77" s="251">
        <v>24.14</v>
      </c>
      <c r="E77" s="251">
        <v>16.05</v>
      </c>
      <c r="F77" s="308">
        <f t="shared" si="15"/>
        <v>-6.2266500622654153E-4</v>
      </c>
      <c r="G77" s="251">
        <v>16.059999999999999</v>
      </c>
      <c r="H77" s="308">
        <f t="shared" si="11"/>
        <v>0.29307568438003218</v>
      </c>
      <c r="I77" s="251">
        <v>12.42</v>
      </c>
      <c r="J77" s="308">
        <f t="shared" si="13"/>
        <v>-0.14989733059548249</v>
      </c>
      <c r="K77" s="251">
        <v>14.61</v>
      </c>
      <c r="L77" s="268">
        <f t="shared" si="16"/>
        <v>0.4757575757575756</v>
      </c>
      <c r="M77" s="82">
        <v>9.9</v>
      </c>
      <c r="N77" s="4"/>
    </row>
    <row r="78" spans="1:14" s="6" customFormat="1" ht="11.25">
      <c r="A78" s="65" t="s">
        <v>90</v>
      </c>
      <c r="B78" s="251">
        <v>26.54</v>
      </c>
      <c r="C78" s="308">
        <f t="shared" si="14"/>
        <v>-0.26947426369391692</v>
      </c>
      <c r="D78" s="251">
        <v>36.33</v>
      </c>
      <c r="E78" s="251">
        <v>31.26</v>
      </c>
      <c r="F78" s="308">
        <f t="shared" si="15"/>
        <v>-9.154315605928498E-2</v>
      </c>
      <c r="G78" s="251">
        <v>34.409999999999997</v>
      </c>
      <c r="H78" s="308">
        <f t="shared" si="11"/>
        <v>-5.5967078189300579E-2</v>
      </c>
      <c r="I78" s="251">
        <v>36.450000000000003</v>
      </c>
      <c r="J78" s="308">
        <f t="shared" si="13"/>
        <v>1.618534482758621</v>
      </c>
      <c r="K78" s="251">
        <v>13.92</v>
      </c>
      <c r="L78" s="268">
        <f t="shared" si="16"/>
        <v>-0.21133144475920673</v>
      </c>
      <c r="M78" s="82">
        <v>17.649999999999999</v>
      </c>
      <c r="N78" s="8"/>
    </row>
    <row r="79" spans="1:14" s="6" customFormat="1" ht="11.25">
      <c r="A79" s="65" t="s">
        <v>132</v>
      </c>
      <c r="B79" s="251">
        <v>0.4</v>
      </c>
      <c r="C79" s="308"/>
      <c r="D79" s="251">
        <v>0.42</v>
      </c>
      <c r="E79" s="251">
        <v>0.52</v>
      </c>
      <c r="F79" s="308"/>
      <c r="G79" s="251">
        <v>0</v>
      </c>
      <c r="H79" s="308">
        <f t="shared" si="11"/>
        <v>-1</v>
      </c>
      <c r="I79" s="251">
        <v>15.42</v>
      </c>
      <c r="J79" s="308">
        <f t="shared" si="13"/>
        <v>-0.4233358264771877</v>
      </c>
      <c r="K79" s="251">
        <v>26.74</v>
      </c>
      <c r="L79" s="268">
        <f t="shared" si="16"/>
        <v>-0.59789473684210526</v>
      </c>
      <c r="M79" s="82">
        <v>66.5</v>
      </c>
      <c r="N79" s="8"/>
    </row>
    <row r="80" spans="1:14" s="6" customFormat="1" ht="11.25">
      <c r="A80" s="65" t="s">
        <v>91</v>
      </c>
      <c r="B80" s="251">
        <v>14.51</v>
      </c>
      <c r="C80" s="308">
        <f t="shared" ref="C80:C83" si="17">IF((+B80/D80)&lt;0,"n.m.",IF(B80&lt;0,(+B80/D80-1)*-1,(+B80/D80-1)))</f>
        <v>-4.1180507892930596E-3</v>
      </c>
      <c r="D80" s="251">
        <v>14.57</v>
      </c>
      <c r="E80" s="251">
        <v>8.83</v>
      </c>
      <c r="F80" s="308">
        <f t="shared" si="15"/>
        <v>-0.30907668231611884</v>
      </c>
      <c r="G80" s="251">
        <v>12.78</v>
      </c>
      <c r="H80" s="308">
        <f t="shared" si="11"/>
        <v>-0.38646183389342292</v>
      </c>
      <c r="I80" s="251">
        <v>20.83</v>
      </c>
      <c r="J80" s="308">
        <f t="shared" si="13"/>
        <v>0.23840665873959566</v>
      </c>
      <c r="K80" s="251">
        <v>16.82</v>
      </c>
      <c r="L80" s="268">
        <f t="shared" si="16"/>
        <v>0.35974130962004858</v>
      </c>
      <c r="M80" s="82">
        <v>12.37</v>
      </c>
      <c r="N80" s="8"/>
    </row>
    <row r="81" spans="1:14" s="6" customFormat="1" ht="11.25">
      <c r="A81" s="65" t="s">
        <v>92</v>
      </c>
      <c r="B81" s="251">
        <v>5.27</v>
      </c>
      <c r="C81" s="308">
        <f t="shared" si="17"/>
        <v>0.15570175438596467</v>
      </c>
      <c r="D81" s="251">
        <v>4.5600000000000005</v>
      </c>
      <c r="E81" s="251">
        <v>6.68</v>
      </c>
      <c r="F81" s="308">
        <f t="shared" si="15"/>
        <v>0.44902386117136639</v>
      </c>
      <c r="G81" s="251">
        <v>4.6100000000000003</v>
      </c>
      <c r="H81" s="308">
        <f t="shared" si="11"/>
        <v>-0.45764705882352941</v>
      </c>
      <c r="I81" s="251">
        <v>8.5</v>
      </c>
      <c r="J81" s="308">
        <f t="shared" si="13"/>
        <v>-7.2052401746724892E-2</v>
      </c>
      <c r="K81" s="251">
        <v>9.16</v>
      </c>
      <c r="L81" s="268">
        <f t="shared" si="16"/>
        <v>1.0818181818181816</v>
      </c>
      <c r="M81" s="82">
        <v>4.4000000000000004</v>
      </c>
      <c r="N81" s="8"/>
    </row>
    <row r="82" spans="1:14" s="6" customFormat="1" ht="11.25">
      <c r="A82" s="65" t="s">
        <v>93</v>
      </c>
      <c r="B82" s="251">
        <v>2.27</v>
      </c>
      <c r="C82" s="308">
        <f t="shared" si="17"/>
        <v>-0.55577299412915848</v>
      </c>
      <c r="D82" s="251">
        <v>5.1100000000000003</v>
      </c>
      <c r="E82" s="251">
        <v>2.68</v>
      </c>
      <c r="F82" s="308">
        <f t="shared" si="15"/>
        <v>-0.49718574108818014</v>
      </c>
      <c r="G82" s="251">
        <v>5.33</v>
      </c>
      <c r="H82" s="308">
        <f t="shared" si="11"/>
        <v>2.4836601307189543</v>
      </c>
      <c r="I82" s="251">
        <v>1.53</v>
      </c>
      <c r="J82" s="308">
        <f t="shared" si="13"/>
        <v>-0.16393442622950827</v>
      </c>
      <c r="K82" s="251">
        <v>1.83</v>
      </c>
      <c r="L82" s="268">
        <f t="shared" si="16"/>
        <v>1.1049723756906049E-2</v>
      </c>
      <c r="M82" s="82">
        <v>1.81</v>
      </c>
      <c r="N82" s="8"/>
    </row>
    <row r="83" spans="1:14" s="6" customFormat="1" ht="11.25">
      <c r="A83" s="65" t="s">
        <v>94</v>
      </c>
      <c r="B83" s="251">
        <v>0.04</v>
      </c>
      <c r="C83" s="308">
        <f t="shared" si="17"/>
        <v>-0.33333333333333326</v>
      </c>
      <c r="D83" s="251">
        <v>0.06</v>
      </c>
      <c r="E83" s="251">
        <v>0.05</v>
      </c>
      <c r="F83" s="308">
        <f t="shared" si="15"/>
        <v>0</v>
      </c>
      <c r="G83" s="251">
        <v>0.05</v>
      </c>
      <c r="H83" s="308">
        <f t="shared" si="11"/>
        <v>-0.8529411764705882</v>
      </c>
      <c r="I83" s="251">
        <v>0.34</v>
      </c>
      <c r="J83" s="308">
        <f t="shared" si="13"/>
        <v>2.4</v>
      </c>
      <c r="K83" s="251">
        <v>0.1</v>
      </c>
      <c r="L83" s="268"/>
      <c r="M83" s="82">
        <v>0</v>
      </c>
      <c r="N83" s="8"/>
    </row>
    <row r="84" spans="1:14" s="6" customFormat="1" ht="11.25">
      <c r="A84" s="65" t="s">
        <v>95</v>
      </c>
      <c r="B84" s="251">
        <v>0</v>
      </c>
      <c r="C84" s="308"/>
      <c r="D84" s="251">
        <v>0</v>
      </c>
      <c r="E84" s="251">
        <v>0</v>
      </c>
      <c r="F84" s="308"/>
      <c r="G84" s="251">
        <v>0</v>
      </c>
      <c r="H84" s="308"/>
      <c r="I84" s="251">
        <v>0</v>
      </c>
      <c r="J84" s="308">
        <f t="shared" si="13"/>
        <v>-1</v>
      </c>
      <c r="K84" s="251">
        <v>1.9</v>
      </c>
      <c r="L84" s="268">
        <f t="shared" si="16"/>
        <v>9.8265895953757232E-2</v>
      </c>
      <c r="M84" s="82">
        <v>1.73</v>
      </c>
      <c r="N84" s="8"/>
    </row>
    <row r="85" spans="1:14" s="6" customFormat="1" ht="11.25">
      <c r="A85" s="65" t="s">
        <v>96</v>
      </c>
      <c r="B85" s="251">
        <v>57.28</v>
      </c>
      <c r="C85" s="308"/>
      <c r="D85" s="251">
        <v>0</v>
      </c>
      <c r="E85" s="251">
        <v>0</v>
      </c>
      <c r="F85" s="308"/>
      <c r="G85" s="251">
        <v>0</v>
      </c>
      <c r="H85" s="308">
        <f t="shared" si="11"/>
        <v>-1</v>
      </c>
      <c r="I85" s="251">
        <v>0.14000000000000001</v>
      </c>
      <c r="J85" s="308"/>
      <c r="K85" s="251">
        <v>0</v>
      </c>
      <c r="L85" s="268"/>
      <c r="M85" s="82">
        <v>0</v>
      </c>
      <c r="N85" s="8"/>
    </row>
    <row r="86" spans="1:14" s="6" customFormat="1" ht="11.25">
      <c r="A86" s="65" t="s">
        <v>97</v>
      </c>
      <c r="B86" s="251">
        <v>1.17</v>
      </c>
      <c r="C86" s="308">
        <f t="shared" ref="C86:C101" si="18">IF((+B86/D86)&lt;0,"n.m.",IF(B86&lt;0,(+B86/D86-1)*-1,(+B86/D86-1)))</f>
        <v>-0.33898305084745772</v>
      </c>
      <c r="D86" s="251">
        <v>1.77</v>
      </c>
      <c r="E86" s="251">
        <v>1.6</v>
      </c>
      <c r="F86" s="308">
        <f t="shared" si="15"/>
        <v>0.22137404580152675</v>
      </c>
      <c r="G86" s="251">
        <v>1.31</v>
      </c>
      <c r="H86" s="308">
        <f t="shared" si="11"/>
        <v>-0.71459694989106759</v>
      </c>
      <c r="I86" s="251">
        <v>4.59</v>
      </c>
      <c r="J86" s="308">
        <f t="shared" si="13"/>
        <v>-0.45872641509433965</v>
      </c>
      <c r="K86" s="251">
        <v>8.48</v>
      </c>
      <c r="L86" s="268">
        <f t="shared" si="16"/>
        <v>-0.68263473053892221</v>
      </c>
      <c r="M86" s="82">
        <v>26.72</v>
      </c>
      <c r="N86" s="8"/>
    </row>
    <row r="87" spans="1:14" s="6" customFormat="1" ht="11.25">
      <c r="A87" s="65" t="s">
        <v>98</v>
      </c>
      <c r="B87" s="251">
        <v>18.479999999999997</v>
      </c>
      <c r="C87" s="308">
        <f t="shared" si="18"/>
        <v>-0.38706467661691546</v>
      </c>
      <c r="D87" s="180">
        <v>30.15</v>
      </c>
      <c r="E87" s="251">
        <v>14.07</v>
      </c>
      <c r="F87" s="308">
        <f t="shared" si="15"/>
        <v>2.0193133047210301</v>
      </c>
      <c r="G87" s="180">
        <v>4.66</v>
      </c>
      <c r="H87" s="308">
        <f t="shared" si="11"/>
        <v>-0.34087694483734088</v>
      </c>
      <c r="I87" s="252">
        <v>7.07</v>
      </c>
      <c r="J87" s="308">
        <f t="shared" si="13"/>
        <v>-0.19107551487414187</v>
      </c>
      <c r="K87" s="252">
        <v>8.74</v>
      </c>
      <c r="L87" s="268">
        <f t="shared" si="16"/>
        <v>-0.46836982968369834</v>
      </c>
      <c r="M87" s="83">
        <v>16.440000000000001</v>
      </c>
      <c r="N87" s="8"/>
    </row>
    <row r="88" spans="1:14" s="6" customFormat="1" ht="11.25">
      <c r="A88" s="65" t="s">
        <v>99</v>
      </c>
      <c r="B88" s="251">
        <v>29.71</v>
      </c>
      <c r="C88" s="308">
        <f t="shared" si="18"/>
        <v>-0.32184432777904592</v>
      </c>
      <c r="D88" s="251">
        <v>43.81</v>
      </c>
      <c r="E88" s="251">
        <v>36.369999999999997</v>
      </c>
      <c r="F88" s="308">
        <f t="shared" si="15"/>
        <v>-0.33278297560080716</v>
      </c>
      <c r="G88" s="251">
        <v>54.51</v>
      </c>
      <c r="H88" s="308">
        <f t="shared" si="11"/>
        <v>-6.0010346611484855E-2</v>
      </c>
      <c r="I88" s="251">
        <v>57.99</v>
      </c>
      <c r="J88" s="308">
        <f t="shared" si="13"/>
        <v>2.3991793669402113</v>
      </c>
      <c r="K88" s="251">
        <v>17.059999999999999</v>
      </c>
      <c r="L88" s="268">
        <f t="shared" si="16"/>
        <v>-0.22242479489516875</v>
      </c>
      <c r="M88" s="82">
        <v>21.94</v>
      </c>
      <c r="N88" s="8"/>
    </row>
    <row r="89" spans="1:14" s="2" customFormat="1" ht="11.25">
      <c r="A89" s="65" t="s">
        <v>100</v>
      </c>
      <c r="B89" s="251">
        <v>97.37</v>
      </c>
      <c r="C89" s="308">
        <f t="shared" si="18"/>
        <v>-7.6098301546636216E-2</v>
      </c>
      <c r="D89" s="251">
        <v>105.39</v>
      </c>
      <c r="E89" s="251">
        <v>108.77</v>
      </c>
      <c r="F89" s="308">
        <f t="shared" si="15"/>
        <v>1.8064395357543894E-2</v>
      </c>
      <c r="G89" s="251">
        <v>106.84</v>
      </c>
      <c r="H89" s="308">
        <f t="shared" si="11"/>
        <v>-0.59101175209585421</v>
      </c>
      <c r="I89" s="251">
        <v>261.23</v>
      </c>
      <c r="J89" s="308">
        <f t="shared" si="13"/>
        <v>-0.72839750054584584</v>
      </c>
      <c r="K89" s="251">
        <v>961.81</v>
      </c>
      <c r="L89" s="268">
        <f t="shared" si="16"/>
        <v>-4.7005201882586167E-2</v>
      </c>
      <c r="M89" s="82">
        <v>1009.25</v>
      </c>
      <c r="N89" s="4"/>
    </row>
    <row r="90" spans="1:14" s="6" customFormat="1" ht="11.25">
      <c r="A90" s="65" t="s">
        <v>101</v>
      </c>
      <c r="B90" s="251">
        <v>0</v>
      </c>
      <c r="C90" s="308">
        <f t="shared" si="18"/>
        <v>-1</v>
      </c>
      <c r="D90" s="251">
        <v>1.33</v>
      </c>
      <c r="E90" s="251">
        <v>0.3</v>
      </c>
      <c r="F90" s="308">
        <f t="shared" si="15"/>
        <v>-0.8936170212765957</v>
      </c>
      <c r="G90" s="251">
        <v>2.82</v>
      </c>
      <c r="H90" s="308">
        <f t="shared" si="11"/>
        <v>-0.57207890743550838</v>
      </c>
      <c r="I90" s="251">
        <v>6.59</v>
      </c>
      <c r="J90" s="308">
        <f t="shared" si="13"/>
        <v>-0.41989436619718312</v>
      </c>
      <c r="K90" s="251">
        <v>11.36</v>
      </c>
      <c r="L90" s="268">
        <f t="shared" si="16"/>
        <v>-0.39153722549544734</v>
      </c>
      <c r="M90" s="82">
        <v>18.670000000000002</v>
      </c>
      <c r="N90" s="8"/>
    </row>
    <row r="91" spans="1:14" s="6" customFormat="1" ht="11.25">
      <c r="A91" s="65" t="s">
        <v>102</v>
      </c>
      <c r="B91" s="251">
        <v>2177.39</v>
      </c>
      <c r="C91" s="308">
        <f t="shared" si="18"/>
        <v>1.3608261953811125</v>
      </c>
      <c r="D91" s="251">
        <v>922.3</v>
      </c>
      <c r="E91" s="251">
        <v>883.56000000000006</v>
      </c>
      <c r="F91" s="308">
        <f t="shared" si="15"/>
        <v>2.0036714713081314</v>
      </c>
      <c r="G91" s="251">
        <v>294.16000000000003</v>
      </c>
      <c r="H91" s="308">
        <f t="shared" si="11"/>
        <v>3.7652681030293218</v>
      </c>
      <c r="I91" s="251">
        <v>61.73</v>
      </c>
      <c r="J91" s="308">
        <f t="shared" si="13"/>
        <v>-0.25428847547716849</v>
      </c>
      <c r="K91" s="251">
        <v>82.78</v>
      </c>
      <c r="L91" s="268">
        <f t="shared" si="16"/>
        <v>0.19520646838001721</v>
      </c>
      <c r="M91" s="82">
        <v>69.260000000000005</v>
      </c>
      <c r="N91" s="8"/>
    </row>
    <row r="92" spans="1:14" s="6" customFormat="1" ht="11.25">
      <c r="A92" s="65" t="s">
        <v>103</v>
      </c>
      <c r="B92" s="251">
        <v>296.5</v>
      </c>
      <c r="C92" s="308">
        <f t="shared" si="18"/>
        <v>0.54130061859957368</v>
      </c>
      <c r="D92" s="251">
        <v>192.37</v>
      </c>
      <c r="E92" s="251">
        <v>275.99</v>
      </c>
      <c r="F92" s="308">
        <f t="shared" si="15"/>
        <v>0.61133815973843997</v>
      </c>
      <c r="G92" s="251">
        <v>171.28</v>
      </c>
      <c r="H92" s="308">
        <f t="shared" si="11"/>
        <v>-0.46858614377462693</v>
      </c>
      <c r="I92" s="251">
        <v>322.31</v>
      </c>
      <c r="J92" s="308">
        <f t="shared" si="13"/>
        <v>-0.18889196466769009</v>
      </c>
      <c r="K92" s="251">
        <v>397.37</v>
      </c>
      <c r="L92" s="268">
        <f t="shared" si="16"/>
        <v>-0.19505327553376817</v>
      </c>
      <c r="M92" s="82">
        <v>493.66</v>
      </c>
      <c r="N92" s="8"/>
    </row>
    <row r="93" spans="1:14" s="6" customFormat="1" ht="11.25">
      <c r="A93" s="65" t="s">
        <v>104</v>
      </c>
      <c r="B93" s="251">
        <v>822.92</v>
      </c>
      <c r="C93" s="308">
        <f t="shared" si="18"/>
        <v>-0.38192770179431146</v>
      </c>
      <c r="D93" s="251">
        <v>1331.43</v>
      </c>
      <c r="E93" s="251">
        <v>1055.8499999999999</v>
      </c>
      <c r="F93" s="308">
        <f t="shared" si="15"/>
        <v>-5.6341552788924942E-2</v>
      </c>
      <c r="G93" s="251">
        <v>1118.8900000000001</v>
      </c>
      <c r="H93" s="308">
        <f t="shared" si="11"/>
        <v>0.42748335076930921</v>
      </c>
      <c r="I93" s="251">
        <v>783.82</v>
      </c>
      <c r="J93" s="308">
        <f t="shared" si="13"/>
        <v>0.14286130876006076</v>
      </c>
      <c r="K93" s="251">
        <v>685.84</v>
      </c>
      <c r="L93" s="268">
        <f t="shared" si="16"/>
        <v>0.51245975389229503</v>
      </c>
      <c r="M93" s="82">
        <v>453.46</v>
      </c>
      <c r="N93" s="8"/>
    </row>
    <row r="94" spans="1:14" s="6" customFormat="1" ht="11.25">
      <c r="A94" s="65" t="s">
        <v>105</v>
      </c>
      <c r="B94" s="251">
        <v>88.03</v>
      </c>
      <c r="C94" s="308">
        <f t="shared" si="18"/>
        <v>-2.9223643581826275E-2</v>
      </c>
      <c r="D94" s="253">
        <v>90.68</v>
      </c>
      <c r="E94" s="251">
        <v>69.31</v>
      </c>
      <c r="F94" s="308">
        <f t="shared" si="15"/>
        <v>-0.44230769230769229</v>
      </c>
      <c r="G94" s="253">
        <v>124.28</v>
      </c>
      <c r="H94" s="308">
        <f t="shared" si="11"/>
        <v>-0.14395922303347575</v>
      </c>
      <c r="I94" s="253">
        <v>145.18</v>
      </c>
      <c r="J94" s="308">
        <f t="shared" si="13"/>
        <v>2.3382386755575992</v>
      </c>
      <c r="K94" s="253">
        <v>43.49</v>
      </c>
      <c r="L94" s="268">
        <f t="shared" si="16"/>
        <v>-0.26437753721244917</v>
      </c>
      <c r="M94" s="84">
        <v>59.12</v>
      </c>
      <c r="N94" s="8"/>
    </row>
    <row r="95" spans="1:14" s="6" customFormat="1" ht="11.25">
      <c r="A95" s="65" t="s">
        <v>106</v>
      </c>
      <c r="B95" s="251">
        <v>337.37</v>
      </c>
      <c r="C95" s="308">
        <f t="shared" si="18"/>
        <v>-0.21465152008938959</v>
      </c>
      <c r="D95" s="253">
        <v>429.58</v>
      </c>
      <c r="E95" s="251">
        <v>405.32</v>
      </c>
      <c r="F95" s="308">
        <f t="shared" si="15"/>
        <v>5.8442575860448098E-2</v>
      </c>
      <c r="G95" s="253">
        <v>382.94</v>
      </c>
      <c r="H95" s="308">
        <f t="shared" si="11"/>
        <v>-0.23788484884669725</v>
      </c>
      <c r="I95" s="253">
        <v>502.46999999999997</v>
      </c>
      <c r="J95" s="308">
        <f t="shared" si="13"/>
        <v>1.9823717948717947</v>
      </c>
      <c r="K95" s="253">
        <v>168.48</v>
      </c>
      <c r="L95" s="268">
        <f t="shared" si="16"/>
        <v>-0.3526473526473527</v>
      </c>
      <c r="M95" s="84">
        <v>260.26</v>
      </c>
      <c r="N95" s="8"/>
    </row>
    <row r="96" spans="1:14" s="6" customFormat="1" ht="11.25">
      <c r="A96" s="69" t="s">
        <v>86</v>
      </c>
      <c r="B96" s="251">
        <f>B74</f>
        <v>945.32</v>
      </c>
      <c r="C96" s="308">
        <f t="shared" si="18"/>
        <v>0.14580075876028764</v>
      </c>
      <c r="D96" s="181">
        <f>D74</f>
        <v>825.03</v>
      </c>
      <c r="E96" s="251">
        <f>E74</f>
        <v>851.34</v>
      </c>
      <c r="F96" s="308">
        <f t="shared" ref="F96:F101" si="19">IF((+E96/G96)&lt;0,"n.m.",IF(E96&lt;0,(+E96/G96-1)*-1,(+E96/G96-1)))</f>
        <v>-0.17490623273664718</v>
      </c>
      <c r="G96" s="181">
        <f>G74</f>
        <v>1031.81</v>
      </c>
      <c r="H96" s="308">
        <f t="shared" si="11"/>
        <v>-1.4074951745752684E-2</v>
      </c>
      <c r="I96" s="345">
        <f>I74</f>
        <v>1046.54</v>
      </c>
      <c r="J96" s="308">
        <f t="shared" si="13"/>
        <v>-0.14901610017889089</v>
      </c>
      <c r="K96" s="345">
        <f>K74</f>
        <v>1229.8</v>
      </c>
      <c r="L96" s="268">
        <f t="shared" si="16"/>
        <v>5.8466093452796075E-2</v>
      </c>
      <c r="M96" s="85">
        <f>M74</f>
        <v>1161.8699999999999</v>
      </c>
      <c r="N96" s="8"/>
    </row>
    <row r="97" spans="1:14" s="6" customFormat="1" ht="11.25">
      <c r="A97" s="69" t="s">
        <v>87</v>
      </c>
      <c r="B97" s="251">
        <f>B75</f>
        <v>277.55</v>
      </c>
      <c r="C97" s="308">
        <f t="shared" si="18"/>
        <v>-0.13740054699154647</v>
      </c>
      <c r="D97" s="181">
        <f>D75</f>
        <v>321.76</v>
      </c>
      <c r="E97" s="251">
        <f>E75</f>
        <v>299.25</v>
      </c>
      <c r="F97" s="308">
        <f t="shared" si="19"/>
        <v>-0.24883277272955473</v>
      </c>
      <c r="G97" s="85">
        <f>G75</f>
        <v>398.38</v>
      </c>
      <c r="H97" s="308">
        <f t="shared" si="11"/>
        <v>-0.36503028371055146</v>
      </c>
      <c r="I97" s="345">
        <f>I75</f>
        <v>627.4</v>
      </c>
      <c r="J97" s="308">
        <f t="shared" si="13"/>
        <v>9.0997617681325638E-2</v>
      </c>
      <c r="K97" s="345">
        <f>K75</f>
        <v>575.07000000000005</v>
      </c>
      <c r="L97" s="268">
        <f t="shared" si="16"/>
        <v>0.13830166270783861</v>
      </c>
      <c r="M97" s="85">
        <f>M75</f>
        <v>505.2</v>
      </c>
      <c r="N97" s="8"/>
    </row>
    <row r="98" spans="1:14" s="2" customFormat="1" ht="11.25">
      <c r="A98" s="69" t="s">
        <v>107</v>
      </c>
      <c r="B98" s="251">
        <f>B76+B77+B78+B79+B80+B81+B82+B83+B84+B85</f>
        <v>203.41000000000003</v>
      </c>
      <c r="C98" s="308">
        <f t="shared" si="18"/>
        <v>0.72967687074829946</v>
      </c>
      <c r="D98" s="180">
        <f>D76+D77+D78+D79+D80+D81+D82+D83+D84+D85</f>
        <v>117.60000000000001</v>
      </c>
      <c r="E98" s="251">
        <f>E76+E77+E78+E79+E80+E81+E82+E83+E84+E85</f>
        <v>109.04</v>
      </c>
      <c r="F98" s="308">
        <f t="shared" si="19"/>
        <v>0.20446260907986336</v>
      </c>
      <c r="G98" s="83">
        <f>G76+G77+G78+G79+G80+G81+G82+G83+G84+G85</f>
        <v>90.529999999999987</v>
      </c>
      <c r="H98" s="308">
        <f t="shared" si="11"/>
        <v>-0.22498073795051821</v>
      </c>
      <c r="I98" s="252">
        <f>I76+I77+I78+I79+I80+I81+I82+I83+I84+I85</f>
        <v>116.81000000000002</v>
      </c>
      <c r="J98" s="308">
        <f t="shared" si="13"/>
        <v>0.11577036966281429</v>
      </c>
      <c r="K98" s="252">
        <f>K76+K77+K78+K79+K80+K81+K82+K83+K84+K85</f>
        <v>104.68999999999998</v>
      </c>
      <c r="L98" s="268">
        <f t="shared" si="16"/>
        <v>-0.33479476426483679</v>
      </c>
      <c r="M98" s="83">
        <f>M76+M77+M78+M79+M80+M81+M82+M83+M84+M85</f>
        <v>157.38</v>
      </c>
      <c r="N98" s="4"/>
    </row>
    <row r="99" spans="1:14" s="2" customFormat="1" ht="11.25">
      <c r="A99" s="69" t="s">
        <v>108</v>
      </c>
      <c r="B99" s="180">
        <f>B86+B87+B88+B89+B90+B91</f>
        <v>2324.12</v>
      </c>
      <c r="C99" s="308">
        <f t="shared" si="18"/>
        <v>1.1037519800859923</v>
      </c>
      <c r="D99" s="180">
        <f>D86+D87+D88+D89+D90+D91</f>
        <v>1104.75</v>
      </c>
      <c r="E99" s="180">
        <f>E86+E87+E88+E89+E90+E91</f>
        <v>1044.67</v>
      </c>
      <c r="F99" s="308">
        <f t="shared" si="19"/>
        <v>1.2499892311005816</v>
      </c>
      <c r="G99" s="83">
        <f>G86+G87+G88+G89+G90+G91</f>
        <v>464.3</v>
      </c>
      <c r="H99" s="308">
        <f t="shared" si="11"/>
        <v>0.16307615230460937</v>
      </c>
      <c r="I99" s="252">
        <f>I86+I87+I88+I89+I90+I91</f>
        <v>399.2</v>
      </c>
      <c r="J99" s="308">
        <f t="shared" si="13"/>
        <v>-0.6338387312768865</v>
      </c>
      <c r="K99" s="252">
        <f>K86+K87+K88+K89+K90+K91</f>
        <v>1090.23</v>
      </c>
      <c r="L99" s="268">
        <f t="shared" si="16"/>
        <v>-6.1990226107306312E-2</v>
      </c>
      <c r="M99" s="83">
        <f>M86+M87+M88+M89+M90+M91</f>
        <v>1162.28</v>
      </c>
      <c r="N99" s="4"/>
    </row>
    <row r="100" spans="1:14" s="6" customFormat="1" ht="11.25">
      <c r="A100" s="69" t="s">
        <v>109</v>
      </c>
      <c r="B100" s="143">
        <f>B92+B93+B94+B95</f>
        <v>1544.8200000000002</v>
      </c>
      <c r="C100" s="308">
        <f t="shared" si="18"/>
        <v>-0.24423940588828119</v>
      </c>
      <c r="D100" s="143">
        <f>D92+D93+D94+D95</f>
        <v>2044.0600000000002</v>
      </c>
      <c r="E100" s="143">
        <f>E92+E93+E94+E95</f>
        <v>1806.4699999999998</v>
      </c>
      <c r="F100" s="308">
        <f t="shared" si="19"/>
        <v>5.0517695102341165E-3</v>
      </c>
      <c r="G100" s="143">
        <f>G92+G93+G94+G95</f>
        <v>1797.39</v>
      </c>
      <c r="H100" s="308">
        <f t="shared" si="11"/>
        <v>2.4866288816157045E-2</v>
      </c>
      <c r="I100" s="143">
        <f>I92+I93+I94+I95</f>
        <v>1753.7800000000002</v>
      </c>
      <c r="J100" s="308">
        <f t="shared" si="13"/>
        <v>0.35408205809231164</v>
      </c>
      <c r="K100" s="143">
        <f>K92+K93+K94+K95</f>
        <v>1295.18</v>
      </c>
      <c r="L100" s="268">
        <f t="shared" si="16"/>
        <v>2.2645084879589383E-2</v>
      </c>
      <c r="M100" s="143">
        <f>M92+M93+M94+M95</f>
        <v>1266.5</v>
      </c>
      <c r="N100" s="8"/>
    </row>
    <row r="101" spans="1:14" s="59" customFormat="1" ht="10.35" customHeight="1">
      <c r="A101" s="57" t="s">
        <v>114</v>
      </c>
      <c r="B101" s="267">
        <f>SUM(B96:B100)</f>
        <v>5295.22</v>
      </c>
      <c r="C101" s="307">
        <f t="shared" si="18"/>
        <v>0.19985951237197508</v>
      </c>
      <c r="D101" s="267">
        <f>SUM(D96:D100)</f>
        <v>4413.2</v>
      </c>
      <c r="E101" s="267">
        <f>SUM(E96:E100)</f>
        <v>4110.7700000000004</v>
      </c>
      <c r="F101" s="307">
        <f t="shared" si="19"/>
        <v>8.6812376236315103E-2</v>
      </c>
      <c r="G101" s="267">
        <f>SUM(G96:G100)</f>
        <v>3782.41</v>
      </c>
      <c r="H101" s="307">
        <f t="shared" si="11"/>
        <v>-4.0905437238350495E-2</v>
      </c>
      <c r="I101" s="267">
        <f>SUM(I96:I100)</f>
        <v>3943.73</v>
      </c>
      <c r="J101" s="307">
        <f t="shared" si="13"/>
        <v>-8.1779383790806515E-2</v>
      </c>
      <c r="K101" s="267">
        <f>SUM(K96:K100)</f>
        <v>4294.97</v>
      </c>
      <c r="L101" s="144">
        <f t="shared" si="16"/>
        <v>9.8137180448742978E-3</v>
      </c>
      <c r="M101" s="267">
        <f>SUM(M96:M100)</f>
        <v>4253.2299999999996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7" fitToHeight="0" orientation="landscape" r:id="rId1"/>
  <headerFooter alignWithMargins="0">
    <oddHeader>&amp;A</oddHeader>
  </headerFooter>
  <rowBreaks count="2" manualBreakCount="2">
    <brk id="42" max="16383" man="1"/>
    <brk id="7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02"/>
  <sheetViews>
    <sheetView view="pageBreakPreview" zoomScale="115" zoomScaleNormal="100" zoomScaleSheetLayoutView="115" workbookViewId="0">
      <pane xSplit="1" ySplit="1" topLeftCell="B2" activePane="bottomRight" state="frozen"/>
      <selection activeCell="B72" sqref="B72"/>
      <selection pane="topRight" activeCell="B72" sqref="B72"/>
      <selection pane="bottomLeft" activeCell="B72" sqref="B72"/>
      <selection pane="bottomRight"/>
    </sheetView>
  </sheetViews>
  <sheetFormatPr baseColWidth="10" defaultColWidth="20.5703125" defaultRowHeight="12" customHeight="1" outlineLevelRow="1"/>
  <cols>
    <col min="1" max="1" width="20.5703125" style="56" customWidth="1"/>
    <col min="2" max="13" width="10.85546875" style="89" customWidth="1"/>
    <col min="14" max="16384" width="20.5703125" style="56"/>
  </cols>
  <sheetData>
    <row r="1" spans="1:27" s="55" customFormat="1" ht="24" customHeight="1">
      <c r="A1" s="90" t="s">
        <v>123</v>
      </c>
      <c r="B1" s="151" t="s">
        <v>159</v>
      </c>
      <c r="C1" s="151" t="s">
        <v>161</v>
      </c>
      <c r="D1" s="151" t="s">
        <v>158</v>
      </c>
      <c r="E1" s="151">
        <v>2019</v>
      </c>
      <c r="F1" s="151" t="s">
        <v>156</v>
      </c>
      <c r="G1" s="151">
        <v>2018</v>
      </c>
      <c r="H1" s="151" t="s">
        <v>148</v>
      </c>
      <c r="I1" s="151">
        <v>2017</v>
      </c>
      <c r="J1" s="302" t="s">
        <v>136</v>
      </c>
      <c r="K1" s="151">
        <v>2016</v>
      </c>
      <c r="L1" s="151" t="s">
        <v>130</v>
      </c>
      <c r="M1" s="1">
        <v>2015</v>
      </c>
    </row>
    <row r="2" spans="1:27" ht="9.75" hidden="1" customHeight="1" outlineLevel="1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27" s="59" customFormat="1" ht="10.35" customHeight="1" collapsed="1">
      <c r="A3" s="114" t="s">
        <v>1</v>
      </c>
      <c r="B3" s="264">
        <f>B71</f>
        <v>65.589999999999989</v>
      </c>
      <c r="C3" s="309">
        <f>IF((+B3/D3)&lt;0,"n.m.",IF(B3&lt;0,(+B3/D3-1)*-1,(+B3/D3-1)))</f>
        <v>0.19493532519584589</v>
      </c>
      <c r="D3" s="264">
        <f>D71</f>
        <v>54.890000000000008</v>
      </c>
      <c r="E3" s="264">
        <f>E71</f>
        <v>144.68000000000004</v>
      </c>
      <c r="F3" s="309">
        <f>IF((+E3/G3)&lt;0,"n.m.",IF(E3&lt;0,(+E3/G3-1)*-1,(+E3/G3-1)))</f>
        <v>0.24896408839779016</v>
      </c>
      <c r="G3" s="264">
        <f>G71</f>
        <v>115.84000000000002</v>
      </c>
      <c r="H3" s="309">
        <f>IF((+G3/I3)&lt;0,"n.m.",IF(G3&lt;0,(+G3/I3-1)*-1,(+G3/I3-1)))</f>
        <v>-0.12507552870090621</v>
      </c>
      <c r="I3" s="271">
        <f>I71</f>
        <v>132.4</v>
      </c>
      <c r="J3" s="309">
        <f>IF((+I3/K3)&lt;0,"n.m.",IF(I3&lt;0,(+I3/K3-1)*-1,(+I3/K3-1)))</f>
        <v>-0.17379095163806546</v>
      </c>
      <c r="K3" s="254">
        <f>K71</f>
        <v>160.25</v>
      </c>
      <c r="L3" s="281">
        <f t="shared" ref="L3:L9" si="0">IF((+K3/M3)&lt;0,"n.m.",IF(K3&lt;0,(+K3/M3-1)*-1,(+K3/M3-1)))</f>
        <v>0.17727005583308841</v>
      </c>
      <c r="M3" s="115">
        <f>M71</f>
        <v>136.12</v>
      </c>
    </row>
    <row r="4" spans="1:27" s="59" customFormat="1" ht="10.35" customHeight="1">
      <c r="A4" s="114" t="s">
        <v>2</v>
      </c>
      <c r="B4" s="264">
        <f>B101</f>
        <v>4.5</v>
      </c>
      <c r="C4" s="281">
        <f t="shared" ref="C4:C7" si="1">IF((+B4/D4)&lt;0,"n.m.",IF(B4&lt;0,(+B4/D4-1)*-1,(+B4/D4-1)))</f>
        <v>0.125</v>
      </c>
      <c r="D4" s="264">
        <f>D101</f>
        <v>4</v>
      </c>
      <c r="E4" s="264">
        <f>E101</f>
        <v>3.68</v>
      </c>
      <c r="F4" s="281">
        <f t="shared" ref="F4:F7" si="2">IF((+E4/G4)&lt;0,"n.m.",IF(E4&lt;0,(+E4/G4-1)*-1,(+E4/G4-1)))</f>
        <v>0.71162790697674394</v>
      </c>
      <c r="G4" s="264">
        <f>G101</f>
        <v>2.1500000000000004</v>
      </c>
      <c r="H4" s="281">
        <f t="shared" ref="H4:H9" si="3">IF((+G4/I4)&lt;0,"n.m.",IF(G4&lt;0,(+G4/I4-1)*-1,(+G4/I4-1)))</f>
        <v>-0.59662288930581608</v>
      </c>
      <c r="I4" s="271">
        <f>I101</f>
        <v>5.3299999999999992</v>
      </c>
      <c r="J4" s="309">
        <f t="shared" ref="J4:J9" si="4">IF((+I4/K4)&lt;0,"n.m.",IF(I4&lt;0,(+I4/K4-1)*-1,(+I4/K4-1)))</f>
        <v>-0.31666666666666687</v>
      </c>
      <c r="K4" s="254">
        <f>K101</f>
        <v>7.8000000000000007</v>
      </c>
      <c r="L4" s="281">
        <f t="shared" si="0"/>
        <v>0.20930232558139528</v>
      </c>
      <c r="M4" s="115">
        <f>M101</f>
        <v>6.4500000000000011</v>
      </c>
    </row>
    <row r="5" spans="1:27" s="59" customFormat="1" ht="10.35" customHeight="1">
      <c r="A5" s="114" t="s">
        <v>3</v>
      </c>
      <c r="B5" s="264">
        <v>6.73</v>
      </c>
      <c r="C5" s="309">
        <f t="shared" si="1"/>
        <v>-0.14593908629441621</v>
      </c>
      <c r="D5" s="264">
        <v>7.88</v>
      </c>
      <c r="E5" s="264">
        <v>16.649999999999999</v>
      </c>
      <c r="F5" s="309">
        <f t="shared" si="2"/>
        <v>-0.15836829601172742</v>
      </c>
      <c r="G5" s="264">
        <v>19.783000000000001</v>
      </c>
      <c r="H5" s="309">
        <f t="shared" si="3"/>
        <v>-0.29747869318181819</v>
      </c>
      <c r="I5" s="271">
        <v>28.16</v>
      </c>
      <c r="J5" s="309">
        <f t="shared" si="4"/>
        <v>-1.1235955056179803E-2</v>
      </c>
      <c r="K5" s="256">
        <v>28.48</v>
      </c>
      <c r="L5" s="281">
        <f t="shared" si="0"/>
        <v>0.1324055666003976</v>
      </c>
      <c r="M5" s="115">
        <v>25.15</v>
      </c>
    </row>
    <row r="6" spans="1:27" s="59" customFormat="1" ht="10.35" customHeight="1">
      <c r="A6" s="114" t="s">
        <v>124</v>
      </c>
      <c r="B6" s="264">
        <v>0.12</v>
      </c>
      <c r="C6" s="309" t="str">
        <f t="shared" si="1"/>
        <v>n.m.</v>
      </c>
      <c r="D6" s="264">
        <v>-7.0000000000000007E-2</v>
      </c>
      <c r="E6" s="264">
        <v>0.87</v>
      </c>
      <c r="F6" s="309">
        <f t="shared" si="2"/>
        <v>1.1627906976744207E-2</v>
      </c>
      <c r="G6" s="264">
        <v>0.86</v>
      </c>
      <c r="H6" s="309">
        <f t="shared" si="3"/>
        <v>0.28358208955223874</v>
      </c>
      <c r="I6" s="271">
        <v>0.67</v>
      </c>
      <c r="J6" s="309">
        <f t="shared" si="4"/>
        <v>0.42553191489361719</v>
      </c>
      <c r="K6" s="256">
        <v>0.47</v>
      </c>
      <c r="L6" s="281">
        <f t="shared" si="0"/>
        <v>1.1363636363636362</v>
      </c>
      <c r="M6" s="115">
        <v>0.22</v>
      </c>
    </row>
    <row r="7" spans="1:27" s="59" customFormat="1" ht="10.35" customHeight="1">
      <c r="A7" s="114" t="s">
        <v>126</v>
      </c>
      <c r="B7" s="264">
        <v>-13.37</v>
      </c>
      <c r="C7" s="309">
        <f t="shared" si="1"/>
        <v>0.31681144609095557</v>
      </c>
      <c r="D7" s="264">
        <v>-19.57</v>
      </c>
      <c r="E7" s="264">
        <v>-24.47</v>
      </c>
      <c r="F7" s="309">
        <f t="shared" si="2"/>
        <v>7.9140480939299374E-2</v>
      </c>
      <c r="G7" s="264">
        <v>-26.573</v>
      </c>
      <c r="H7" s="309">
        <f t="shared" si="3"/>
        <v>-3.891197582168493E-3</v>
      </c>
      <c r="I7" s="271">
        <v>-26.47</v>
      </c>
      <c r="J7" s="309">
        <f t="shared" si="4"/>
        <v>-6.9969788519637461</v>
      </c>
      <c r="K7" s="256">
        <v>-3.31</v>
      </c>
      <c r="L7" s="281">
        <f t="shared" si="0"/>
        <v>0.86322314049586779</v>
      </c>
      <c r="M7" s="115">
        <v>-24.2</v>
      </c>
    </row>
    <row r="8" spans="1:27" ht="10.35" customHeight="1">
      <c r="A8" s="116" t="s">
        <v>117</v>
      </c>
      <c r="B8" s="255">
        <f>B6/B5</f>
        <v>1.7830609212481426E-2</v>
      </c>
      <c r="C8" s="309"/>
      <c r="D8" s="255">
        <f>D6/D5</f>
        <v>-8.8832487309644676E-3</v>
      </c>
      <c r="E8" s="255">
        <f>E6/E5</f>
        <v>5.225225225225226E-2</v>
      </c>
      <c r="F8" s="309"/>
      <c r="G8" s="255">
        <f>G6/G5</f>
        <v>4.3471667593388261E-2</v>
      </c>
      <c r="H8" s="309"/>
      <c r="I8" s="255">
        <f>I6/I5</f>
        <v>2.3792613636363636E-2</v>
      </c>
      <c r="J8" s="280"/>
      <c r="K8" s="255">
        <f>K6/K5</f>
        <v>1.6502808988764044E-2</v>
      </c>
      <c r="L8" s="281"/>
      <c r="M8" s="117">
        <f>M6/M5</f>
        <v>8.7475149105367793E-3</v>
      </c>
    </row>
    <row r="9" spans="1:27" s="118" customFormat="1" ht="10.35" customHeight="1" thickBot="1">
      <c r="A9" s="486" t="s">
        <v>128</v>
      </c>
      <c r="B9" s="257">
        <f>-7.84+0.38</f>
        <v>-7.46</v>
      </c>
      <c r="C9" s="257">
        <f t="shared" ref="C9" si="5">IF((+B9/D9)&lt;0,"n.m.",IF(B9&lt;0,(+B9/D9-1)*-1,(+B9/D9-1)))</f>
        <v>0.39741518578352186</v>
      </c>
      <c r="D9" s="257">
        <v>-12.38</v>
      </c>
      <c r="E9" s="257">
        <f>-12.94-1.49</f>
        <v>-14.43</v>
      </c>
      <c r="F9" s="257" t="str">
        <f t="shared" ref="F9" si="6">IF((+E9/G9)&lt;0,"n.m.",IF(E9&lt;0,(+E9/G9-1)*-1,(+E9/G9-1)))</f>
        <v>n.m.</v>
      </c>
      <c r="G9" s="257">
        <v>55.24</v>
      </c>
      <c r="H9" s="257" t="str">
        <f t="shared" si="3"/>
        <v>n.m.</v>
      </c>
      <c r="I9" s="257">
        <f>-14.32-4.25</f>
        <v>-18.57</v>
      </c>
      <c r="J9" s="257" t="str">
        <f t="shared" si="4"/>
        <v>n.m.</v>
      </c>
      <c r="K9" s="257">
        <v>17.68</v>
      </c>
      <c r="L9" s="282" t="str">
        <f t="shared" si="0"/>
        <v>n.m.</v>
      </c>
      <c r="M9" s="149">
        <v>-8.19</v>
      </c>
    </row>
    <row r="10" spans="1:27" ht="37.5" customHeight="1" thickBot="1">
      <c r="A10" s="487"/>
      <c r="B10" s="469"/>
      <c r="C10" s="470"/>
      <c r="D10" s="469"/>
      <c r="E10" s="271"/>
      <c r="F10" s="280"/>
      <c r="G10" s="271"/>
      <c r="H10" s="280"/>
      <c r="I10" s="271"/>
      <c r="J10" s="280"/>
      <c r="K10" s="119"/>
      <c r="L10" s="347" t="s">
        <v>125</v>
      </c>
      <c r="M10" s="348">
        <f>Group!B15-'North + West'!B6-'South + East'!B6-'Intern.+ Special Divisions'!B6-Other!B6-Other!B9</f>
        <v>-2.5934809855243657E-13</v>
      </c>
    </row>
    <row r="11" spans="1:27" ht="10.35" customHeight="1">
      <c r="A11" s="116"/>
      <c r="B11" s="469"/>
      <c r="C11" s="470"/>
      <c r="D11" s="469"/>
      <c r="E11" s="271"/>
      <c r="F11" s="280"/>
      <c r="G11" s="271"/>
      <c r="H11" s="280"/>
      <c r="I11" s="271"/>
      <c r="J11" s="280"/>
      <c r="K11" s="120"/>
      <c r="L11" s="120"/>
      <c r="M11" s="120"/>
    </row>
    <row r="12" spans="1:27" s="59" customFormat="1" ht="10.35" customHeight="1">
      <c r="A12" s="114" t="s">
        <v>85</v>
      </c>
      <c r="B12" s="471"/>
      <c r="C12" s="470"/>
      <c r="D12" s="471"/>
      <c r="E12" s="121"/>
      <c r="F12" s="280"/>
      <c r="G12" s="121"/>
      <c r="H12" s="280"/>
      <c r="I12" s="121"/>
      <c r="J12" s="280"/>
      <c r="K12" s="121"/>
      <c r="L12" s="121"/>
      <c r="M12" s="121"/>
    </row>
    <row r="13" spans="1:27" s="2" customFormat="1" ht="11.25">
      <c r="A13" s="122" t="s">
        <v>86</v>
      </c>
      <c r="B13" s="272">
        <v>2716</v>
      </c>
      <c r="C13" s="310">
        <f t="shared" ref="C13:C30" si="7">IF((+B13/D13)&lt;0,"n.m.",IF(B13&lt;0,(+B13/D13-1)*-1,(+B13/D13-1)))</f>
        <v>4.5017314351673665E-2</v>
      </c>
      <c r="D13" s="272">
        <v>2599</v>
      </c>
      <c r="E13" s="272">
        <v>2616</v>
      </c>
      <c r="F13" s="310">
        <f t="shared" ref="F13:F32" si="8">IF((+E13/G13)&lt;0,"n.m.",IF(E13&lt;0,(+E13/G13-1)*-1,(+E13/G13-1)))</f>
        <v>2.1475985942990938E-2</v>
      </c>
      <c r="G13" s="272">
        <v>2561</v>
      </c>
      <c r="H13" s="310">
        <f t="shared" ref="H13:H40" si="9">IF((+G13/I13)&lt;0,"n.m.",IF(G13&lt;0,(+G13/I13-1)*-1,(+G13/I13-1)))</f>
        <v>3.1829170024173958E-2</v>
      </c>
      <c r="I13" s="272">
        <v>2482</v>
      </c>
      <c r="J13" s="310">
        <f t="shared" ref="J13:J76" si="10">IF((+I13/K13)&lt;0,"n.m.",IF(I13&lt;0,(+I13/K13-1)*-1,(+I13/K13-1)))</f>
        <v>3.9798910766652762E-2</v>
      </c>
      <c r="K13" s="258">
        <v>2387</v>
      </c>
      <c r="L13" s="280">
        <f t="shared" ref="L13:L40" si="11">IF((+K13/M13)&lt;0,"n.m.",IF(K13&lt;0,(+K13/M13-1)*-1,(+K13/M13-1)))</f>
        <v>1.2728044123886395E-2</v>
      </c>
      <c r="M13" s="123">
        <v>2357</v>
      </c>
      <c r="N13" s="17"/>
      <c r="O13" s="67"/>
      <c r="P13" s="38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2" customFormat="1" ht="11.25">
      <c r="A14" s="122" t="s">
        <v>87</v>
      </c>
      <c r="B14" s="272">
        <v>1262</v>
      </c>
      <c r="C14" s="310">
        <f t="shared" si="7"/>
        <v>1.8563357546408366E-2</v>
      </c>
      <c r="D14" s="272">
        <v>1239</v>
      </c>
      <c r="E14" s="272">
        <v>1242</v>
      </c>
      <c r="F14" s="310">
        <f t="shared" si="8"/>
        <v>2.2222222222222143E-2</v>
      </c>
      <c r="G14" s="272">
        <v>1215</v>
      </c>
      <c r="H14" s="310">
        <f t="shared" si="9"/>
        <v>3.7574722459436272E-2</v>
      </c>
      <c r="I14" s="272">
        <v>1171</v>
      </c>
      <c r="J14" s="310">
        <f t="shared" si="10"/>
        <v>1.5611448395490113E-2</v>
      </c>
      <c r="K14" s="258">
        <v>1153</v>
      </c>
      <c r="L14" s="280">
        <f t="shared" si="11"/>
        <v>7.8671328671329199E-3</v>
      </c>
      <c r="M14" s="123">
        <v>1144</v>
      </c>
      <c r="N14" s="17"/>
      <c r="O14" s="67"/>
      <c r="P14" s="38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2" customFormat="1" ht="11.25">
      <c r="A15" s="122" t="s">
        <v>88</v>
      </c>
      <c r="B15" s="272">
        <v>742</v>
      </c>
      <c r="C15" s="310">
        <f t="shared" si="7"/>
        <v>5.5476529160739751E-2</v>
      </c>
      <c r="D15" s="272">
        <v>703</v>
      </c>
      <c r="E15" s="272">
        <v>713</v>
      </c>
      <c r="F15" s="310">
        <f t="shared" si="8"/>
        <v>0.11059190031152655</v>
      </c>
      <c r="G15" s="272">
        <v>642</v>
      </c>
      <c r="H15" s="310">
        <f t="shared" si="9"/>
        <v>3.7156704361873905E-2</v>
      </c>
      <c r="I15" s="272">
        <v>619</v>
      </c>
      <c r="J15" s="310">
        <f t="shared" si="10"/>
        <v>4.2087542087542174E-2</v>
      </c>
      <c r="K15" s="258">
        <v>594</v>
      </c>
      <c r="L15" s="280">
        <f t="shared" si="11"/>
        <v>2.5906735751295429E-2</v>
      </c>
      <c r="M15" s="123">
        <v>579</v>
      </c>
      <c r="N15" s="17"/>
      <c r="O15" s="67"/>
      <c r="P15" s="38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2" customFormat="1" ht="11.25">
      <c r="A16" s="122" t="s">
        <v>89</v>
      </c>
      <c r="B16" s="272">
        <v>413</v>
      </c>
      <c r="C16" s="310">
        <f t="shared" si="7"/>
        <v>4.5569620253164578E-2</v>
      </c>
      <c r="D16" s="272">
        <v>395</v>
      </c>
      <c r="E16" s="272">
        <v>399</v>
      </c>
      <c r="F16" s="310">
        <f t="shared" si="8"/>
        <v>3.90625E-2</v>
      </c>
      <c r="G16" s="272">
        <v>384</v>
      </c>
      <c r="H16" s="310">
        <f t="shared" si="9"/>
        <v>2.9490616621983934E-2</v>
      </c>
      <c r="I16" s="272">
        <v>373</v>
      </c>
      <c r="J16" s="310">
        <f t="shared" si="10"/>
        <v>2.1917808219177992E-2</v>
      </c>
      <c r="K16" s="258">
        <v>365</v>
      </c>
      <c r="L16" s="280">
        <f t="shared" si="11"/>
        <v>2.528089887640439E-2</v>
      </c>
      <c r="M16" s="123">
        <v>356</v>
      </c>
      <c r="N16" s="17"/>
      <c r="O16" s="67"/>
      <c r="P16" s="38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6" customFormat="1" ht="11.25">
      <c r="A17" s="122" t="s">
        <v>90</v>
      </c>
      <c r="B17" s="272">
        <v>365</v>
      </c>
      <c r="C17" s="310">
        <f t="shared" si="7"/>
        <v>2.2408963585434094E-2</v>
      </c>
      <c r="D17" s="272">
        <v>357</v>
      </c>
      <c r="E17" s="272">
        <v>361</v>
      </c>
      <c r="F17" s="310">
        <f t="shared" si="8"/>
        <v>0.1645161290322581</v>
      </c>
      <c r="G17" s="272">
        <v>310</v>
      </c>
      <c r="H17" s="310">
        <f t="shared" si="9"/>
        <v>8.7719298245614086E-2</v>
      </c>
      <c r="I17" s="272">
        <v>285</v>
      </c>
      <c r="J17" s="310">
        <f t="shared" si="10"/>
        <v>4.3956043956044022E-2</v>
      </c>
      <c r="K17" s="258">
        <v>273</v>
      </c>
      <c r="L17" s="280">
        <f t="shared" si="11"/>
        <v>-1.4440433212996373E-2</v>
      </c>
      <c r="M17" s="123">
        <v>277</v>
      </c>
      <c r="N17" s="17"/>
      <c r="O17" s="67"/>
      <c r="P17" s="3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6" customFormat="1" ht="11.25">
      <c r="A18" s="122" t="s">
        <v>132</v>
      </c>
      <c r="B18" s="272">
        <v>95</v>
      </c>
      <c r="C18" s="310">
        <f t="shared" si="7"/>
        <v>-7.7669902912621325E-2</v>
      </c>
      <c r="D18" s="272">
        <v>103</v>
      </c>
      <c r="E18" s="272">
        <v>99</v>
      </c>
      <c r="F18" s="310">
        <f t="shared" si="8"/>
        <v>-6.6037735849056589E-2</v>
      </c>
      <c r="G18" s="272">
        <v>106</v>
      </c>
      <c r="H18" s="310">
        <f t="shared" si="9"/>
        <v>-2.752293577981646E-2</v>
      </c>
      <c r="I18" s="272">
        <v>109</v>
      </c>
      <c r="J18" s="310">
        <f t="shared" si="10"/>
        <v>-6.0344827586206851E-2</v>
      </c>
      <c r="K18" s="258">
        <v>116</v>
      </c>
      <c r="L18" s="280">
        <f t="shared" si="11"/>
        <v>-0.14074074074074072</v>
      </c>
      <c r="M18" s="123">
        <v>135</v>
      </c>
      <c r="N18" s="17"/>
      <c r="O18" s="67"/>
      <c r="P18" s="3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s="6" customFormat="1" ht="11.25">
      <c r="A19" s="122" t="s">
        <v>91</v>
      </c>
      <c r="B19" s="272">
        <v>209</v>
      </c>
      <c r="C19" s="310">
        <f t="shared" si="7"/>
        <v>-2.7906976744186074E-2</v>
      </c>
      <c r="D19" s="272">
        <v>215</v>
      </c>
      <c r="E19" s="272">
        <v>216</v>
      </c>
      <c r="F19" s="310">
        <f t="shared" si="8"/>
        <v>-4.6082949308755561E-3</v>
      </c>
      <c r="G19" s="272">
        <v>217</v>
      </c>
      <c r="H19" s="310">
        <f t="shared" si="9"/>
        <v>0</v>
      </c>
      <c r="I19" s="272">
        <v>217</v>
      </c>
      <c r="J19" s="310">
        <f t="shared" si="10"/>
        <v>3.8277511961722466E-2</v>
      </c>
      <c r="K19" s="258">
        <v>209</v>
      </c>
      <c r="L19" s="280">
        <f t="shared" si="11"/>
        <v>2.9556650246305383E-2</v>
      </c>
      <c r="M19" s="123">
        <v>203</v>
      </c>
      <c r="N19" s="17"/>
      <c r="O19" s="67"/>
      <c r="P19" s="3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s="6" customFormat="1" ht="11.25">
      <c r="A20" s="122" t="s">
        <v>92</v>
      </c>
      <c r="B20" s="272">
        <v>189</v>
      </c>
      <c r="C20" s="310">
        <f t="shared" si="7"/>
        <v>4.4198895027624419E-2</v>
      </c>
      <c r="D20" s="272">
        <v>181</v>
      </c>
      <c r="E20" s="272">
        <v>184</v>
      </c>
      <c r="F20" s="310">
        <f t="shared" si="8"/>
        <v>-1.0752688172043001E-2</v>
      </c>
      <c r="G20" s="272">
        <v>186</v>
      </c>
      <c r="H20" s="310">
        <f t="shared" si="9"/>
        <v>6.2857142857142945E-2</v>
      </c>
      <c r="I20" s="272">
        <v>175</v>
      </c>
      <c r="J20" s="310">
        <f t="shared" si="10"/>
        <v>2.3391812865497075E-2</v>
      </c>
      <c r="K20" s="258">
        <v>171</v>
      </c>
      <c r="L20" s="280">
        <f t="shared" si="11"/>
        <v>6.8750000000000089E-2</v>
      </c>
      <c r="M20" s="123">
        <v>160</v>
      </c>
      <c r="N20" s="17"/>
      <c r="O20" s="67"/>
      <c r="P20" s="3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6" customFormat="1" ht="11.25">
      <c r="A21" s="122" t="s">
        <v>93</v>
      </c>
      <c r="B21" s="272">
        <v>154</v>
      </c>
      <c r="C21" s="310">
        <f t="shared" si="7"/>
        <v>0.16666666666666674</v>
      </c>
      <c r="D21" s="272">
        <v>132</v>
      </c>
      <c r="E21" s="272">
        <v>137</v>
      </c>
      <c r="F21" s="310">
        <f t="shared" si="8"/>
        <v>0.14166666666666661</v>
      </c>
      <c r="G21" s="272">
        <v>120</v>
      </c>
      <c r="H21" s="310">
        <f t="shared" si="9"/>
        <v>8.1081081081081141E-2</v>
      </c>
      <c r="I21" s="272">
        <v>111</v>
      </c>
      <c r="J21" s="310">
        <f t="shared" si="10"/>
        <v>0.1212121212121211</v>
      </c>
      <c r="K21" s="258">
        <v>99</v>
      </c>
      <c r="L21" s="280">
        <f t="shared" si="11"/>
        <v>-1.980198019801982E-2</v>
      </c>
      <c r="M21" s="123">
        <v>101</v>
      </c>
      <c r="N21" s="17"/>
      <c r="O21" s="67"/>
      <c r="P21" s="3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s="6" customFormat="1" ht="11.25">
      <c r="A22" s="122" t="s">
        <v>94</v>
      </c>
      <c r="B22" s="272">
        <v>18</v>
      </c>
      <c r="C22" s="310">
        <f t="shared" si="7"/>
        <v>5.8823529411764719E-2</v>
      </c>
      <c r="D22" s="272">
        <v>17</v>
      </c>
      <c r="E22" s="272">
        <v>18</v>
      </c>
      <c r="F22" s="310">
        <f t="shared" si="8"/>
        <v>0.19999999999999996</v>
      </c>
      <c r="G22" s="272">
        <v>15</v>
      </c>
      <c r="H22" s="310">
        <f t="shared" si="9"/>
        <v>7.1428571428571397E-2</v>
      </c>
      <c r="I22" s="272">
        <v>14</v>
      </c>
      <c r="J22" s="310">
        <f t="shared" si="10"/>
        <v>0</v>
      </c>
      <c r="K22" s="258">
        <v>14</v>
      </c>
      <c r="L22" s="280">
        <f t="shared" si="11"/>
        <v>0</v>
      </c>
      <c r="M22" s="123">
        <v>14</v>
      </c>
      <c r="N22" s="17"/>
      <c r="O22" s="67"/>
      <c r="P22" s="3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s="6" customFormat="1" ht="11.25">
      <c r="A23" s="122" t="s">
        <v>95</v>
      </c>
      <c r="B23" s="272">
        <v>184</v>
      </c>
      <c r="C23" s="310">
        <f t="shared" si="7"/>
        <v>0.14285714285714279</v>
      </c>
      <c r="D23" s="272">
        <v>161</v>
      </c>
      <c r="E23" s="272">
        <v>163</v>
      </c>
      <c r="F23" s="310">
        <f t="shared" si="8"/>
        <v>6.5359477124182996E-2</v>
      </c>
      <c r="G23" s="272">
        <v>153</v>
      </c>
      <c r="H23" s="310">
        <f t="shared" si="9"/>
        <v>0.16793893129770998</v>
      </c>
      <c r="I23" s="272">
        <v>131</v>
      </c>
      <c r="J23" s="310">
        <f t="shared" si="10"/>
        <v>0.19090909090909092</v>
      </c>
      <c r="K23" s="258">
        <v>110</v>
      </c>
      <c r="L23" s="280">
        <f t="shared" si="11"/>
        <v>6.7961165048543659E-2</v>
      </c>
      <c r="M23" s="123">
        <v>103</v>
      </c>
      <c r="N23" s="17"/>
      <c r="O23" s="67"/>
      <c r="P23" s="3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6" customFormat="1" ht="11.25">
      <c r="A24" s="122" t="s">
        <v>96</v>
      </c>
      <c r="B24" s="272">
        <v>64</v>
      </c>
      <c r="C24" s="310">
        <f t="shared" si="7"/>
        <v>3.2258064516129004E-2</v>
      </c>
      <c r="D24" s="272">
        <v>62</v>
      </c>
      <c r="E24" s="272">
        <v>62</v>
      </c>
      <c r="F24" s="310">
        <f t="shared" si="8"/>
        <v>3.3333333333333437E-2</v>
      </c>
      <c r="G24" s="272">
        <v>60</v>
      </c>
      <c r="H24" s="310">
        <f t="shared" si="9"/>
        <v>-1.6393442622950838E-2</v>
      </c>
      <c r="I24" s="272">
        <v>61</v>
      </c>
      <c r="J24" s="310">
        <f t="shared" si="10"/>
        <v>3.3898305084745672E-2</v>
      </c>
      <c r="K24" s="258">
        <v>59</v>
      </c>
      <c r="L24" s="280">
        <f t="shared" si="11"/>
        <v>5.3571428571428603E-2</v>
      </c>
      <c r="M24" s="123">
        <v>56</v>
      </c>
      <c r="N24" s="17"/>
      <c r="O24" s="67"/>
      <c r="P24" s="3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s="6" customFormat="1" ht="11.25">
      <c r="A25" s="122" t="s">
        <v>97</v>
      </c>
      <c r="B25" s="272">
        <v>98</v>
      </c>
      <c r="C25" s="310">
        <f t="shared" si="7"/>
        <v>-7.547169811320753E-2</v>
      </c>
      <c r="D25" s="272">
        <v>106</v>
      </c>
      <c r="E25" s="272">
        <v>105</v>
      </c>
      <c r="F25" s="310">
        <f t="shared" si="8"/>
        <v>-9.4827586206896575E-2</v>
      </c>
      <c r="G25" s="272">
        <v>116</v>
      </c>
      <c r="H25" s="310">
        <f t="shared" si="9"/>
        <v>-8.6614173228346414E-2</v>
      </c>
      <c r="I25" s="272">
        <v>127</v>
      </c>
      <c r="J25" s="310">
        <f t="shared" si="10"/>
        <v>-8.633093525179858E-2</v>
      </c>
      <c r="K25" s="258">
        <v>139</v>
      </c>
      <c r="L25" s="280">
        <f t="shared" si="11"/>
        <v>-8.5526315789473673E-2</v>
      </c>
      <c r="M25" s="123">
        <v>152</v>
      </c>
      <c r="N25" s="17"/>
      <c r="O25" s="67"/>
      <c r="P25" s="3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s="6" customFormat="1" ht="11.25">
      <c r="A26" s="122" t="s">
        <v>98</v>
      </c>
      <c r="B26" s="182">
        <v>54</v>
      </c>
      <c r="C26" s="310">
        <f t="shared" si="7"/>
        <v>-3.5714285714285698E-2</v>
      </c>
      <c r="D26" s="182">
        <v>56</v>
      </c>
      <c r="E26" s="182">
        <v>56</v>
      </c>
      <c r="F26" s="310">
        <f t="shared" si="8"/>
        <v>0</v>
      </c>
      <c r="G26" s="182">
        <v>56</v>
      </c>
      <c r="H26" s="310">
        <f t="shared" si="9"/>
        <v>0</v>
      </c>
      <c r="I26" s="182">
        <v>56</v>
      </c>
      <c r="J26" s="310">
        <f t="shared" si="10"/>
        <v>-1.7543859649122862E-2</v>
      </c>
      <c r="K26" s="259">
        <v>57</v>
      </c>
      <c r="L26" s="280">
        <f t="shared" si="11"/>
        <v>-3.3898305084745783E-2</v>
      </c>
      <c r="M26" s="124">
        <v>59</v>
      </c>
      <c r="N26" s="17"/>
      <c r="O26" s="67"/>
      <c r="P26" s="3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s="6" customFormat="1" ht="11.25">
      <c r="A27" s="122" t="s">
        <v>99</v>
      </c>
      <c r="B27" s="272">
        <v>17</v>
      </c>
      <c r="C27" s="310">
        <f t="shared" si="7"/>
        <v>-0.48484848484848486</v>
      </c>
      <c r="D27" s="272">
        <v>33</v>
      </c>
      <c r="E27" s="272">
        <v>29</v>
      </c>
      <c r="F27" s="310">
        <f t="shared" si="8"/>
        <v>-0.1470588235294118</v>
      </c>
      <c r="G27" s="272">
        <v>34</v>
      </c>
      <c r="H27" s="310">
        <f t="shared" si="9"/>
        <v>0.2592592592592593</v>
      </c>
      <c r="I27" s="272">
        <v>27</v>
      </c>
      <c r="J27" s="310">
        <f t="shared" si="10"/>
        <v>-9.9999999999999978E-2</v>
      </c>
      <c r="K27" s="258">
        <v>30</v>
      </c>
      <c r="L27" s="280">
        <f t="shared" si="11"/>
        <v>-0.11764705882352944</v>
      </c>
      <c r="M27" s="123">
        <v>34</v>
      </c>
      <c r="N27" s="17"/>
      <c r="O27" s="67"/>
      <c r="P27" s="3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s="2" customFormat="1" ht="11.25">
      <c r="A28" s="122" t="s">
        <v>100</v>
      </c>
      <c r="B28" s="272">
        <v>22</v>
      </c>
      <c r="C28" s="310">
        <f t="shared" si="7"/>
        <v>0.10000000000000009</v>
      </c>
      <c r="D28" s="272">
        <v>20</v>
      </c>
      <c r="E28" s="272">
        <v>23</v>
      </c>
      <c r="F28" s="310">
        <f t="shared" si="8"/>
        <v>0.27777777777777768</v>
      </c>
      <c r="G28" s="272">
        <v>18</v>
      </c>
      <c r="H28" s="310">
        <f t="shared" si="9"/>
        <v>-5.2631578947368474E-2</v>
      </c>
      <c r="I28" s="272">
        <v>19</v>
      </c>
      <c r="J28" s="310">
        <f t="shared" si="10"/>
        <v>-0.17391304347826086</v>
      </c>
      <c r="K28" s="258">
        <v>23</v>
      </c>
      <c r="L28" s="280">
        <f t="shared" si="11"/>
        <v>-7.999999999999996E-2</v>
      </c>
      <c r="M28" s="123">
        <v>25</v>
      </c>
      <c r="N28" s="17"/>
      <c r="O28" s="67"/>
      <c r="P28" s="38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6" customFormat="1" ht="11.25">
      <c r="A29" s="122" t="s">
        <v>101</v>
      </c>
      <c r="B29" s="272">
        <v>17</v>
      </c>
      <c r="C29" s="310">
        <f t="shared" si="7"/>
        <v>6.25E-2</v>
      </c>
      <c r="D29" s="272">
        <v>16</v>
      </c>
      <c r="E29" s="272">
        <v>16</v>
      </c>
      <c r="F29" s="310">
        <f t="shared" si="8"/>
        <v>0.60000000000000009</v>
      </c>
      <c r="G29" s="272">
        <v>10</v>
      </c>
      <c r="H29" s="310"/>
      <c r="I29" s="272">
        <v>0</v>
      </c>
      <c r="J29" s="310"/>
      <c r="K29" s="258">
        <v>0</v>
      </c>
      <c r="L29" s="280"/>
      <c r="M29" s="123">
        <v>0</v>
      </c>
      <c r="N29" s="17"/>
      <c r="O29" s="67"/>
      <c r="P29" s="3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s="6" customFormat="1" ht="11.25">
      <c r="A30" s="122" t="s">
        <v>102</v>
      </c>
      <c r="B30" s="272">
        <v>27</v>
      </c>
      <c r="C30" s="310">
        <f t="shared" si="7"/>
        <v>3.8461538461538547E-2</v>
      </c>
      <c r="D30" s="272">
        <v>26</v>
      </c>
      <c r="E30" s="272">
        <v>24</v>
      </c>
      <c r="F30" s="310">
        <f t="shared" si="8"/>
        <v>-7.6923076923076872E-2</v>
      </c>
      <c r="G30" s="272">
        <v>26</v>
      </c>
      <c r="H30" s="310">
        <f t="shared" si="9"/>
        <v>4.0000000000000036E-2</v>
      </c>
      <c r="I30" s="272">
        <v>25</v>
      </c>
      <c r="J30" s="310">
        <f t="shared" si="10"/>
        <v>0.25</v>
      </c>
      <c r="K30" s="258">
        <v>20</v>
      </c>
      <c r="L30" s="280">
        <f t="shared" si="11"/>
        <v>0.11111111111111116</v>
      </c>
      <c r="M30" s="123">
        <v>18</v>
      </c>
      <c r="N30" s="17"/>
      <c r="O30" s="67"/>
      <c r="P30" s="3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6" customFormat="1" ht="11.25">
      <c r="A31" s="122" t="s">
        <v>103</v>
      </c>
      <c r="B31" s="272">
        <v>2</v>
      </c>
      <c r="C31" s="310"/>
      <c r="D31" s="272">
        <v>0</v>
      </c>
      <c r="E31" s="272">
        <v>0</v>
      </c>
      <c r="F31" s="310"/>
      <c r="G31" s="272">
        <v>0</v>
      </c>
      <c r="H31" s="310"/>
      <c r="I31" s="272">
        <v>0</v>
      </c>
      <c r="J31" s="310"/>
      <c r="K31" s="258">
        <v>0</v>
      </c>
      <c r="L31" s="280"/>
      <c r="M31" s="123">
        <v>0</v>
      </c>
      <c r="N31" s="17"/>
      <c r="O31" s="67"/>
      <c r="P31" s="3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s="6" customFormat="1" ht="11.25">
      <c r="A32" s="122" t="s">
        <v>104</v>
      </c>
      <c r="B32" s="272">
        <v>3</v>
      </c>
      <c r="C32" s="310">
        <f t="shared" ref="C32" si="12">IF((+B32/D32)&lt;0,"n.m.",IF(B32&lt;0,(+B32/D32-1)*-1,(+B32/D32-1)))</f>
        <v>2</v>
      </c>
      <c r="D32" s="272">
        <v>1</v>
      </c>
      <c r="E32" s="272">
        <v>1</v>
      </c>
      <c r="F32" s="310">
        <f t="shared" si="8"/>
        <v>0</v>
      </c>
      <c r="G32" s="272">
        <v>1</v>
      </c>
      <c r="H32" s="310">
        <f t="shared" si="9"/>
        <v>-0.5</v>
      </c>
      <c r="I32" s="272">
        <v>2</v>
      </c>
      <c r="J32" s="310">
        <f t="shared" si="10"/>
        <v>0</v>
      </c>
      <c r="K32" s="258">
        <v>2</v>
      </c>
      <c r="L32" s="280">
        <f t="shared" si="11"/>
        <v>1</v>
      </c>
      <c r="M32" s="123">
        <v>1</v>
      </c>
      <c r="N32" s="18"/>
      <c r="O32" s="70"/>
      <c r="P32" s="3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s="6" customFormat="1" ht="11.25">
      <c r="A33" s="122" t="s">
        <v>105</v>
      </c>
      <c r="B33" s="273">
        <v>0</v>
      </c>
      <c r="C33" s="310"/>
      <c r="D33" s="273">
        <v>0</v>
      </c>
      <c r="E33" s="273">
        <v>0</v>
      </c>
      <c r="F33" s="310"/>
      <c r="G33" s="273">
        <v>0</v>
      </c>
      <c r="H33" s="310"/>
      <c r="I33" s="273">
        <v>0</v>
      </c>
      <c r="J33" s="310"/>
      <c r="K33" s="260">
        <v>0</v>
      </c>
      <c r="L33" s="280"/>
      <c r="M33" s="126">
        <v>0</v>
      </c>
      <c r="N33" s="17"/>
      <c r="O33" s="7"/>
      <c r="P33" s="17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6" customFormat="1" ht="11.25">
      <c r="A34" s="122" t="s">
        <v>106</v>
      </c>
      <c r="B34" s="273">
        <v>0</v>
      </c>
      <c r="C34" s="310"/>
      <c r="D34" s="273">
        <v>0</v>
      </c>
      <c r="E34" s="273">
        <v>0</v>
      </c>
      <c r="F34" s="310"/>
      <c r="G34" s="273">
        <v>0</v>
      </c>
      <c r="H34" s="310"/>
      <c r="I34" s="273">
        <v>0</v>
      </c>
      <c r="J34" s="310"/>
      <c r="K34" s="260">
        <v>0</v>
      </c>
      <c r="L34" s="280"/>
      <c r="M34" s="126">
        <v>0</v>
      </c>
      <c r="N34" s="17"/>
      <c r="O34" s="7"/>
      <c r="P34" s="17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s="6" customFormat="1" ht="11.25">
      <c r="A35" s="125" t="s">
        <v>86</v>
      </c>
      <c r="B35" s="183">
        <f>B13</f>
        <v>2716</v>
      </c>
      <c r="C35" s="310">
        <f t="shared" ref="C35:C40" si="13">IF((+B35/D35)&lt;0,"n.m.",IF(B35&lt;0,(+B35/D35-1)*-1,(+B35/D35-1)))</f>
        <v>4.5017314351673665E-2</v>
      </c>
      <c r="D35" s="183">
        <f>D13</f>
        <v>2599</v>
      </c>
      <c r="E35" s="183">
        <f>E13</f>
        <v>2616</v>
      </c>
      <c r="F35" s="310">
        <f t="shared" ref="F35:F40" si="14">IF((+E35/G35)&lt;0,"n.m.",IF(E35&lt;0,(+E35/G35-1)*-1,(+E35/G35-1)))</f>
        <v>2.1475985942990938E-2</v>
      </c>
      <c r="G35" s="183">
        <f>G13</f>
        <v>2561</v>
      </c>
      <c r="H35" s="310">
        <f t="shared" si="9"/>
        <v>3.1829170024173958E-2</v>
      </c>
      <c r="I35" s="127">
        <f>I13</f>
        <v>2482</v>
      </c>
      <c r="J35" s="310">
        <f t="shared" si="10"/>
        <v>3.9798910766652762E-2</v>
      </c>
      <c r="K35" s="183">
        <f>K13</f>
        <v>2387</v>
      </c>
      <c r="L35" s="280">
        <f t="shared" si="11"/>
        <v>1.2728044123886395E-2</v>
      </c>
      <c r="M35" s="127">
        <f>M13</f>
        <v>2357</v>
      </c>
      <c r="N35" s="17"/>
      <c r="O35" s="67"/>
      <c r="P35" s="17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s="6" customFormat="1" ht="11.25">
      <c r="A36" s="125" t="s">
        <v>87</v>
      </c>
      <c r="B36" s="183">
        <f>B14</f>
        <v>1262</v>
      </c>
      <c r="C36" s="310">
        <f t="shared" si="13"/>
        <v>1.8563357546408366E-2</v>
      </c>
      <c r="D36" s="183">
        <f>D14</f>
        <v>1239</v>
      </c>
      <c r="E36" s="183">
        <f>E14</f>
        <v>1242</v>
      </c>
      <c r="F36" s="310">
        <f t="shared" si="14"/>
        <v>2.2222222222222143E-2</v>
      </c>
      <c r="G36" s="183">
        <f>G14</f>
        <v>1215</v>
      </c>
      <c r="H36" s="310">
        <f t="shared" si="9"/>
        <v>3.7574722459436272E-2</v>
      </c>
      <c r="I36" s="127">
        <f>I14</f>
        <v>1171</v>
      </c>
      <c r="J36" s="310">
        <f t="shared" si="10"/>
        <v>1.5611448395490113E-2</v>
      </c>
      <c r="K36" s="183">
        <f>K14</f>
        <v>1153</v>
      </c>
      <c r="L36" s="280">
        <f t="shared" si="11"/>
        <v>7.8671328671329199E-3</v>
      </c>
      <c r="M36" s="127">
        <f>M14</f>
        <v>1144</v>
      </c>
      <c r="N36" s="17"/>
      <c r="O36" s="67"/>
      <c r="P36" s="17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s="2" customFormat="1" ht="11.25">
      <c r="A37" s="125" t="s">
        <v>107</v>
      </c>
      <c r="B37" s="182">
        <f>B15+B16+B17+B18+B19+B20+B21+B22+B23+B24</f>
        <v>2433</v>
      </c>
      <c r="C37" s="310">
        <f t="shared" si="13"/>
        <v>4.6001719690455634E-2</v>
      </c>
      <c r="D37" s="182">
        <f>D15+D16+D17+D18+D19+D20+D21+D22+D23+D24</f>
        <v>2326</v>
      </c>
      <c r="E37" s="182">
        <f>E15+E16+E17+E18+E19+E20+E21+E22+E23+E24</f>
        <v>2352</v>
      </c>
      <c r="F37" s="310">
        <f t="shared" si="14"/>
        <v>7.2503419972640204E-2</v>
      </c>
      <c r="G37" s="182">
        <f>G15+G16+G17+G18+G19+G20+G21+G22+G23+G24</f>
        <v>2193</v>
      </c>
      <c r="H37" s="310">
        <f t="shared" si="9"/>
        <v>4.6778042959427113E-2</v>
      </c>
      <c r="I37" s="124">
        <f>I15+I16+I17+I18+I19+I20+I21+I22+I23+I24</f>
        <v>2095</v>
      </c>
      <c r="J37" s="310">
        <f t="shared" si="10"/>
        <v>4.2288557213930433E-2</v>
      </c>
      <c r="K37" s="182">
        <f>K15+K16+K17+K18+K19+K20+K21+K22+K23+K24</f>
        <v>2010</v>
      </c>
      <c r="L37" s="280">
        <f t="shared" si="11"/>
        <v>1.3104838709677491E-2</v>
      </c>
      <c r="M37" s="124">
        <f>M15+M16+M17+M18+M19+M20+M21+M22+M23+M24</f>
        <v>1984</v>
      </c>
      <c r="N37" s="12"/>
      <c r="O37" s="67"/>
      <c r="P37" s="12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2" customFormat="1" ht="11.25">
      <c r="A38" s="125" t="s">
        <v>108</v>
      </c>
      <c r="B38" s="182">
        <f>B25+B26+B27+B28+B29+B30</f>
        <v>235</v>
      </c>
      <c r="C38" s="310">
        <f t="shared" si="13"/>
        <v>-8.5603112840466955E-2</v>
      </c>
      <c r="D38" s="182">
        <f>D25+D26+D27+D28+D29+D30</f>
        <v>257</v>
      </c>
      <c r="E38" s="182">
        <f>E25+E26+E27+E28+E29+E30</f>
        <v>253</v>
      </c>
      <c r="F38" s="310">
        <f t="shared" si="14"/>
        <v>-2.6923076923076938E-2</v>
      </c>
      <c r="G38" s="182">
        <f>G25+G26+G27+G28+G29+G30</f>
        <v>260</v>
      </c>
      <c r="H38" s="310">
        <f t="shared" si="9"/>
        <v>2.3622047244094446E-2</v>
      </c>
      <c r="I38" s="124">
        <f>I25+I26+I27+I28+I29+I30</f>
        <v>254</v>
      </c>
      <c r="J38" s="310">
        <f t="shared" si="10"/>
        <v>-5.5762081784386575E-2</v>
      </c>
      <c r="K38" s="182">
        <f>K25+K26+K27+K28+K29+K30</f>
        <v>269</v>
      </c>
      <c r="L38" s="280">
        <f t="shared" si="11"/>
        <v>-6.597222222222221E-2</v>
      </c>
      <c r="M38" s="124">
        <f>M25+M26+M27+M28+M29+M30</f>
        <v>288</v>
      </c>
      <c r="N38" s="12"/>
      <c r="O38" s="67"/>
      <c r="P38" s="12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6" customFormat="1" ht="11.25">
      <c r="A39" s="125" t="s">
        <v>109</v>
      </c>
      <c r="B39" s="182">
        <f>B31+B32+B33+B34</f>
        <v>5</v>
      </c>
      <c r="C39" s="310">
        <f t="shared" si="13"/>
        <v>4</v>
      </c>
      <c r="D39" s="182">
        <f>D31+D32+D33+D34</f>
        <v>1</v>
      </c>
      <c r="E39" s="182">
        <f>E31+E32+E33+E34</f>
        <v>1</v>
      </c>
      <c r="F39" s="310">
        <f t="shared" si="14"/>
        <v>0</v>
      </c>
      <c r="G39" s="182">
        <f>G31+G32+G33+G34</f>
        <v>1</v>
      </c>
      <c r="H39" s="310">
        <f t="shared" si="9"/>
        <v>-0.5</v>
      </c>
      <c r="I39" s="124">
        <f>I31+I32+I33+I34</f>
        <v>2</v>
      </c>
      <c r="J39" s="310">
        <f t="shared" si="10"/>
        <v>0</v>
      </c>
      <c r="K39" s="182">
        <f>K31+K32+K33+K34</f>
        <v>2</v>
      </c>
      <c r="L39" s="280">
        <f t="shared" si="11"/>
        <v>1</v>
      </c>
      <c r="M39" s="124">
        <f>M31+M32+M33+M34</f>
        <v>1</v>
      </c>
      <c r="N39" s="12"/>
      <c r="O39" s="67"/>
      <c r="P39" s="12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s="2" customFormat="1" ht="11.25">
      <c r="A40" s="128" t="s">
        <v>110</v>
      </c>
      <c r="B40" s="184">
        <f>SUM(B35:B39)</f>
        <v>6651</v>
      </c>
      <c r="C40" s="309">
        <f t="shared" si="13"/>
        <v>3.5658673310495104E-2</v>
      </c>
      <c r="D40" s="184">
        <f>SUM(D35:D39)</f>
        <v>6422</v>
      </c>
      <c r="E40" s="184">
        <f>SUM(E35:E39)</f>
        <v>6464</v>
      </c>
      <c r="F40" s="309">
        <f t="shared" si="14"/>
        <v>3.7560192616372445E-2</v>
      </c>
      <c r="G40" s="184">
        <f>SUM(G35:G39)</f>
        <v>6230</v>
      </c>
      <c r="H40" s="309">
        <f t="shared" si="9"/>
        <v>3.764157228514331E-2</v>
      </c>
      <c r="I40" s="129">
        <f>SUM(I35:I39)</f>
        <v>6004</v>
      </c>
      <c r="J40" s="309">
        <f t="shared" si="10"/>
        <v>3.143789726851054E-2</v>
      </c>
      <c r="K40" s="184">
        <f>SUM(K35:K39)</f>
        <v>5821</v>
      </c>
      <c r="L40" s="281">
        <f t="shared" si="11"/>
        <v>8.1399376515414179E-3</v>
      </c>
      <c r="M40" s="129">
        <f>SUM(M35:M39)</f>
        <v>5774</v>
      </c>
      <c r="N40" s="19"/>
      <c r="O40" s="75"/>
      <c r="P40" s="19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81" customFormat="1" ht="11.25">
      <c r="A41" s="130" t="s">
        <v>120</v>
      </c>
      <c r="B41" s="185">
        <f>B40/Group!B155</f>
        <v>8.9765564898168518E-2</v>
      </c>
      <c r="C41" s="310"/>
      <c r="D41" s="185">
        <f>D40/Group!D155</f>
        <v>8.3796550014353197E-2</v>
      </c>
      <c r="E41" s="185">
        <f>E40/Group!E155</f>
        <v>8.40364539320584E-2</v>
      </c>
      <c r="F41" s="310"/>
      <c r="G41" s="185">
        <f>G40/Group!G155</f>
        <v>8.2560296846011128E-2</v>
      </c>
      <c r="H41" s="310"/>
      <c r="I41" s="131">
        <f>I40/Group!I155</f>
        <v>8.2354877647317026E-2</v>
      </c>
      <c r="J41" s="310"/>
      <c r="K41" s="185">
        <f>K40/Group!K155</f>
        <v>8.1028410751820046E-2</v>
      </c>
      <c r="L41" s="131"/>
      <c r="M41" s="131">
        <f>M40/Group!M155</f>
        <v>7.8756052649526023E-2</v>
      </c>
      <c r="N41" s="79"/>
      <c r="O41" s="78"/>
      <c r="P41" s="79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</row>
    <row r="42" spans="1:27" ht="12" customHeight="1">
      <c r="A42" s="116"/>
      <c r="B42" s="473"/>
      <c r="C42" s="472"/>
      <c r="D42" s="473"/>
      <c r="E42" s="120"/>
      <c r="F42" s="310"/>
      <c r="G42" s="120"/>
      <c r="H42" s="310"/>
      <c r="I42" s="120"/>
      <c r="J42" s="310"/>
      <c r="K42" s="120"/>
      <c r="L42" s="120"/>
      <c r="M42" s="120"/>
    </row>
    <row r="43" spans="1:27" s="59" customFormat="1" ht="12" customHeight="1">
      <c r="A43" s="128" t="s">
        <v>1</v>
      </c>
      <c r="B43" s="471"/>
      <c r="C43" s="472"/>
      <c r="D43" s="471"/>
      <c r="E43" s="121"/>
      <c r="F43" s="310"/>
      <c r="G43" s="121"/>
      <c r="H43" s="310"/>
      <c r="I43" s="121"/>
      <c r="J43" s="310"/>
      <c r="K43" s="121"/>
      <c r="L43" s="121"/>
      <c r="M43" s="121"/>
    </row>
    <row r="44" spans="1:27" s="2" customFormat="1" ht="11.25">
      <c r="A44" s="122" t="s">
        <v>86</v>
      </c>
      <c r="B44" s="274">
        <v>16.62</v>
      </c>
      <c r="C44" s="310">
        <f t="shared" ref="C44:C62" si="15">IF((+B44/D44)&lt;0,"n.m.",IF(B44&lt;0,(+B44/D44-1)*-1,(+B44/D44-1)))</f>
        <v>-0.15204081632653066</v>
      </c>
      <c r="D44" s="274">
        <v>19.600000000000001</v>
      </c>
      <c r="E44" s="274">
        <v>58.97</v>
      </c>
      <c r="F44" s="310">
        <f t="shared" ref="F44:F71" si="16">IF((+E44/G44)&lt;0,"n.m.",IF(E44&lt;0,(+E44/G44-1)*-1,(+E44/G44-1)))</f>
        <v>0.25095460330929154</v>
      </c>
      <c r="G44" s="274">
        <v>47.14</v>
      </c>
      <c r="H44" s="310">
        <f t="shared" ref="H44:H71" si="17">IF((+G44/I44)&lt;0,"n.m.",IF(G44&lt;0,(+G44/I44-1)*-1,(+G44/I44-1)))</f>
        <v>-0.25996860282574574</v>
      </c>
      <c r="I44" s="274">
        <v>63.7</v>
      </c>
      <c r="J44" s="310">
        <f t="shared" si="10"/>
        <v>-0.18007465568284198</v>
      </c>
      <c r="K44" s="261">
        <v>77.69</v>
      </c>
      <c r="L44" s="280">
        <f t="shared" ref="L44:L71" si="18">IF((+K44/M44)&lt;0,"n.m.",IF(K44&lt;0,(+K44/M44-1)*-1,(+K44/M44-1)))</f>
        <v>0.48319969453990064</v>
      </c>
      <c r="M44" s="132">
        <v>52.38</v>
      </c>
      <c r="N44" s="17"/>
      <c r="O44" s="67"/>
      <c r="P44" s="38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2" customFormat="1" ht="11.25">
      <c r="A45" s="122" t="s">
        <v>87</v>
      </c>
      <c r="B45" s="274">
        <v>10.23</v>
      </c>
      <c r="C45" s="310">
        <f t="shared" si="15"/>
        <v>-0.18225419664268583</v>
      </c>
      <c r="D45" s="274">
        <v>12.51</v>
      </c>
      <c r="E45" s="274">
        <v>26.95</v>
      </c>
      <c r="F45" s="310">
        <f t="shared" si="16"/>
        <v>-0.15649452269170583</v>
      </c>
      <c r="G45" s="274">
        <v>31.95</v>
      </c>
      <c r="H45" s="310">
        <f t="shared" si="17"/>
        <v>-0.11789066813914961</v>
      </c>
      <c r="I45" s="274">
        <v>36.22</v>
      </c>
      <c r="J45" s="310">
        <f t="shared" si="10"/>
        <v>3.6634230108757881E-2</v>
      </c>
      <c r="K45" s="261">
        <v>34.94</v>
      </c>
      <c r="L45" s="280">
        <f t="shared" si="18"/>
        <v>7.772979642196165E-2</v>
      </c>
      <c r="M45" s="132">
        <v>32.42</v>
      </c>
      <c r="N45" s="17"/>
      <c r="O45" s="67"/>
      <c r="P45" s="38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2" customFormat="1" ht="11.25">
      <c r="A46" s="122" t="s">
        <v>88</v>
      </c>
      <c r="B46" s="274">
        <v>2.8099999999999996</v>
      </c>
      <c r="C46" s="310">
        <f t="shared" si="15"/>
        <v>-0.11356466876971616</v>
      </c>
      <c r="D46" s="274">
        <v>3.17</v>
      </c>
      <c r="E46" s="274">
        <v>8.41</v>
      </c>
      <c r="F46" s="310">
        <f t="shared" si="16"/>
        <v>0.29185867895545314</v>
      </c>
      <c r="G46" s="274">
        <v>6.51</v>
      </c>
      <c r="H46" s="310">
        <f t="shared" si="17"/>
        <v>0.65648854961832059</v>
      </c>
      <c r="I46" s="274">
        <v>3.93</v>
      </c>
      <c r="J46" s="310">
        <f t="shared" si="10"/>
        <v>-0.33276740237690994</v>
      </c>
      <c r="K46" s="261">
        <v>5.89</v>
      </c>
      <c r="L46" s="280">
        <f t="shared" si="18"/>
        <v>-0.25818639798488674</v>
      </c>
      <c r="M46" s="132">
        <v>7.94</v>
      </c>
      <c r="N46" s="17"/>
      <c r="O46" s="67"/>
      <c r="P46" s="38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2" customFormat="1" ht="11.25">
      <c r="A47" s="122" t="s">
        <v>89</v>
      </c>
      <c r="B47" s="274">
        <v>4.34</v>
      </c>
      <c r="C47" s="310">
        <f t="shared" si="15"/>
        <v>0.55000000000000004</v>
      </c>
      <c r="D47" s="274">
        <v>2.8</v>
      </c>
      <c r="E47" s="274">
        <v>5.78</v>
      </c>
      <c r="F47" s="310">
        <f t="shared" si="16"/>
        <v>0.32568807339449535</v>
      </c>
      <c r="G47" s="274">
        <v>4.3600000000000003</v>
      </c>
      <c r="H47" s="310">
        <f t="shared" si="17"/>
        <v>-0.24827586206896546</v>
      </c>
      <c r="I47" s="274">
        <v>5.8</v>
      </c>
      <c r="J47" s="310">
        <f t="shared" si="10"/>
        <v>-9.7978227060653178E-2</v>
      </c>
      <c r="K47" s="261">
        <v>6.43</v>
      </c>
      <c r="L47" s="280">
        <f t="shared" si="18"/>
        <v>-0.23086124401913877</v>
      </c>
      <c r="M47" s="132">
        <v>8.36</v>
      </c>
      <c r="N47" s="17"/>
      <c r="O47" s="67"/>
      <c r="P47" s="38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6" customFormat="1" ht="11.25">
      <c r="A48" s="122" t="s">
        <v>90</v>
      </c>
      <c r="B48" s="274">
        <v>5.59</v>
      </c>
      <c r="C48" s="310">
        <f t="shared" si="15"/>
        <v>-0.14786585365853655</v>
      </c>
      <c r="D48" s="274">
        <v>6.56</v>
      </c>
      <c r="E48" s="274">
        <v>12.71</v>
      </c>
      <c r="F48" s="310">
        <f t="shared" si="16"/>
        <v>1.4536679536679538</v>
      </c>
      <c r="G48" s="274">
        <v>5.18</v>
      </c>
      <c r="H48" s="310">
        <f t="shared" si="17"/>
        <v>1.4433962264150941</v>
      </c>
      <c r="I48" s="274">
        <v>2.12</v>
      </c>
      <c r="J48" s="310">
        <f t="shared" si="10"/>
        <v>0.26946107784431139</v>
      </c>
      <c r="K48" s="261">
        <v>1.67</v>
      </c>
      <c r="L48" s="280">
        <f t="shared" si="18"/>
        <v>-0.80957810718358036</v>
      </c>
      <c r="M48" s="132">
        <v>8.77</v>
      </c>
      <c r="N48" s="17"/>
      <c r="O48" s="67"/>
      <c r="P48" s="3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s="6" customFormat="1" ht="11.25">
      <c r="A49" s="122" t="s">
        <v>132</v>
      </c>
      <c r="B49" s="274">
        <v>0.37</v>
      </c>
      <c r="C49" s="310">
        <f t="shared" si="15"/>
        <v>0.1212121212121211</v>
      </c>
      <c r="D49" s="274">
        <v>0.33</v>
      </c>
      <c r="E49" s="274">
        <v>0.69</v>
      </c>
      <c r="F49" s="310">
        <f t="shared" si="16"/>
        <v>-0.39473684210526316</v>
      </c>
      <c r="G49" s="274">
        <v>1.1399999999999999</v>
      </c>
      <c r="H49" s="310">
        <f t="shared" si="17"/>
        <v>-0.61872909698996659</v>
      </c>
      <c r="I49" s="274">
        <v>2.99</v>
      </c>
      <c r="J49" s="310">
        <f t="shared" si="10"/>
        <v>-0.50332225913621254</v>
      </c>
      <c r="K49" s="261">
        <v>6.02</v>
      </c>
      <c r="L49" s="280">
        <f t="shared" si="18"/>
        <v>-0.32054176072234764</v>
      </c>
      <c r="M49" s="132">
        <v>8.86</v>
      </c>
      <c r="N49" s="17"/>
      <c r="O49" s="67"/>
      <c r="P49" s="3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s="6" customFormat="1" ht="11.25">
      <c r="A50" s="122" t="s">
        <v>91</v>
      </c>
      <c r="B50" s="274">
        <v>0.85</v>
      </c>
      <c r="C50" s="310">
        <f t="shared" si="15"/>
        <v>-0.73520249221183809</v>
      </c>
      <c r="D50" s="274">
        <v>3.21</v>
      </c>
      <c r="E50" s="274">
        <v>3.84</v>
      </c>
      <c r="F50" s="310">
        <f t="shared" si="16"/>
        <v>0.72197309417040345</v>
      </c>
      <c r="G50" s="274">
        <v>2.23</v>
      </c>
      <c r="H50" s="310">
        <f t="shared" si="17"/>
        <v>0.42038216560509545</v>
      </c>
      <c r="I50" s="274">
        <v>1.57</v>
      </c>
      <c r="J50" s="310">
        <f t="shared" si="10"/>
        <v>-0.12290502793296088</v>
      </c>
      <c r="K50" s="261">
        <v>1.79</v>
      </c>
      <c r="L50" s="280">
        <f t="shared" si="18"/>
        <v>0.79</v>
      </c>
      <c r="M50" s="132">
        <v>1</v>
      </c>
      <c r="N50" s="17"/>
      <c r="O50" s="67"/>
      <c r="P50" s="3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s="6" customFormat="1" ht="11.25">
      <c r="A51" s="122" t="s">
        <v>92</v>
      </c>
      <c r="B51" s="274">
        <v>0.42</v>
      </c>
      <c r="C51" s="310">
        <f t="shared" si="15"/>
        <v>-0.42465753424657537</v>
      </c>
      <c r="D51" s="274">
        <v>0.73</v>
      </c>
      <c r="E51" s="274">
        <v>1.38</v>
      </c>
      <c r="F51" s="310">
        <f t="shared" si="16"/>
        <v>0.60465116279069764</v>
      </c>
      <c r="G51" s="274">
        <v>0.86</v>
      </c>
      <c r="H51" s="310">
        <f t="shared" si="17"/>
        <v>-0.46250000000000002</v>
      </c>
      <c r="I51" s="274">
        <v>1.6</v>
      </c>
      <c r="J51" s="310">
        <f t="shared" si="10"/>
        <v>1.1333333333333333</v>
      </c>
      <c r="K51" s="261">
        <v>0.75</v>
      </c>
      <c r="L51" s="280">
        <f t="shared" si="18"/>
        <v>0.44230769230769229</v>
      </c>
      <c r="M51" s="132">
        <v>0.52</v>
      </c>
      <c r="N51" s="17"/>
      <c r="O51" s="67"/>
      <c r="P51" s="3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s="6" customFormat="1" ht="11.25">
      <c r="A52" s="122" t="s">
        <v>93</v>
      </c>
      <c r="B52" s="274">
        <v>0.23</v>
      </c>
      <c r="C52" s="310">
        <f t="shared" si="15"/>
        <v>-0.5</v>
      </c>
      <c r="D52" s="274">
        <v>0.46</v>
      </c>
      <c r="E52" s="274">
        <v>2.61</v>
      </c>
      <c r="F52" s="310">
        <f t="shared" si="16"/>
        <v>1.9325842696629212</v>
      </c>
      <c r="G52" s="274">
        <v>0.89</v>
      </c>
      <c r="H52" s="310">
        <f t="shared" si="17"/>
        <v>0</v>
      </c>
      <c r="I52" s="274">
        <v>0.89</v>
      </c>
      <c r="J52" s="310">
        <f t="shared" si="10"/>
        <v>-0.2053571428571429</v>
      </c>
      <c r="K52" s="261">
        <v>1.1200000000000001</v>
      </c>
      <c r="L52" s="280">
        <f t="shared" si="18"/>
        <v>0.12000000000000011</v>
      </c>
      <c r="M52" s="132">
        <v>1</v>
      </c>
      <c r="N52" s="17"/>
      <c r="O52" s="67"/>
      <c r="P52" s="3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s="6" customFormat="1" ht="11.25">
      <c r="A53" s="122" t="s">
        <v>94</v>
      </c>
      <c r="B53" s="274">
        <v>2.73</v>
      </c>
      <c r="C53" s="310">
        <f t="shared" si="15"/>
        <v>8.7499999999999982</v>
      </c>
      <c r="D53" s="274">
        <v>0.28000000000000003</v>
      </c>
      <c r="E53" s="274">
        <v>0.49</v>
      </c>
      <c r="F53" s="310">
        <f t="shared" si="16"/>
        <v>0.88461538461538458</v>
      </c>
      <c r="G53" s="274">
        <v>0.26</v>
      </c>
      <c r="H53" s="310">
        <f t="shared" si="17"/>
        <v>-3.703703703703709E-2</v>
      </c>
      <c r="I53" s="274">
        <v>0.27</v>
      </c>
      <c r="J53" s="310">
        <f t="shared" si="10"/>
        <v>-0.20588235294117652</v>
      </c>
      <c r="K53" s="261">
        <v>0.34</v>
      </c>
      <c r="L53" s="280">
        <f t="shared" si="18"/>
        <v>4.666666666666667</v>
      </c>
      <c r="M53" s="132">
        <v>0.06</v>
      </c>
      <c r="N53" s="17"/>
      <c r="O53" s="67"/>
      <c r="P53" s="3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s="6" customFormat="1" ht="11.25">
      <c r="A54" s="122" t="s">
        <v>95</v>
      </c>
      <c r="B54" s="274">
        <v>0.62</v>
      </c>
      <c r="C54" s="310">
        <f t="shared" si="15"/>
        <v>0.58974358974358965</v>
      </c>
      <c r="D54" s="274">
        <v>0.39</v>
      </c>
      <c r="E54" s="274">
        <v>0.96</v>
      </c>
      <c r="F54" s="310">
        <f t="shared" si="16"/>
        <v>-0.14285714285714302</v>
      </c>
      <c r="G54" s="274">
        <v>1.1200000000000001</v>
      </c>
      <c r="H54" s="310">
        <f t="shared" si="17"/>
        <v>1.1538461538461542</v>
      </c>
      <c r="I54" s="274">
        <v>0.52</v>
      </c>
      <c r="J54" s="310">
        <f t="shared" si="10"/>
        <v>-0.36585365853658536</v>
      </c>
      <c r="K54" s="261">
        <v>0.82</v>
      </c>
      <c r="L54" s="280">
        <f t="shared" si="18"/>
        <v>2.4999999999999911E-2</v>
      </c>
      <c r="M54" s="132">
        <v>0.8</v>
      </c>
      <c r="N54" s="17"/>
      <c r="O54" s="67"/>
      <c r="P54" s="3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s="6" customFormat="1" ht="11.25">
      <c r="A55" s="122" t="s">
        <v>96</v>
      </c>
      <c r="B55" s="274">
        <v>0.6</v>
      </c>
      <c r="C55" s="310">
        <f t="shared" si="15"/>
        <v>0.13207547169811318</v>
      </c>
      <c r="D55" s="274">
        <v>0.53</v>
      </c>
      <c r="E55" s="274">
        <v>1.1000000000000001</v>
      </c>
      <c r="F55" s="310">
        <f t="shared" si="16"/>
        <v>0.10000000000000009</v>
      </c>
      <c r="G55" s="274">
        <v>1</v>
      </c>
      <c r="H55" s="310">
        <f t="shared" si="17"/>
        <v>-9.9009900990099098E-3</v>
      </c>
      <c r="I55" s="274">
        <v>1.01</v>
      </c>
      <c r="J55" s="310">
        <f t="shared" si="10"/>
        <v>-0.18548387096774188</v>
      </c>
      <c r="K55" s="261">
        <v>1.24</v>
      </c>
      <c r="L55" s="280">
        <f t="shared" si="18"/>
        <v>0.16981132075471694</v>
      </c>
      <c r="M55" s="132">
        <v>1.06</v>
      </c>
      <c r="N55" s="17"/>
      <c r="O55" s="67"/>
      <c r="P55" s="3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s="6" customFormat="1" ht="11.25">
      <c r="A56" s="122" t="s">
        <v>97</v>
      </c>
      <c r="B56" s="274">
        <v>6.17</v>
      </c>
      <c r="C56" s="310">
        <f t="shared" si="15"/>
        <v>3.0064935064935066</v>
      </c>
      <c r="D56" s="274">
        <v>1.54</v>
      </c>
      <c r="E56" s="274">
        <v>2.3199999999999998</v>
      </c>
      <c r="F56" s="310">
        <f t="shared" si="16"/>
        <v>-0.65578635014836806</v>
      </c>
      <c r="G56" s="274">
        <v>6.74</v>
      </c>
      <c r="H56" s="310">
        <f t="shared" si="17"/>
        <v>-0.15960099750623435</v>
      </c>
      <c r="I56" s="274">
        <v>8.02</v>
      </c>
      <c r="J56" s="310">
        <f t="shared" si="10"/>
        <v>-0.52488151658767768</v>
      </c>
      <c r="K56" s="261">
        <v>16.88</v>
      </c>
      <c r="L56" s="280">
        <f t="shared" si="18"/>
        <v>3.5745257452574526</v>
      </c>
      <c r="M56" s="132">
        <v>3.69</v>
      </c>
      <c r="N56" s="17"/>
      <c r="O56" s="67"/>
      <c r="P56" s="3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s="6" customFormat="1" ht="11.25">
      <c r="A57" s="122" t="s">
        <v>98</v>
      </c>
      <c r="B57" s="186">
        <v>0.18</v>
      </c>
      <c r="C57" s="310">
        <f t="shared" si="15"/>
        <v>-0.37931034482758619</v>
      </c>
      <c r="D57" s="186">
        <v>0.28999999999999998</v>
      </c>
      <c r="E57" s="186">
        <v>0.66</v>
      </c>
      <c r="F57" s="310">
        <f t="shared" si="16"/>
        <v>-0.66999999999999993</v>
      </c>
      <c r="G57" s="186">
        <v>2</v>
      </c>
      <c r="H57" s="310">
        <f t="shared" si="17"/>
        <v>1.5641025641025639</v>
      </c>
      <c r="I57" s="186">
        <v>0.78</v>
      </c>
      <c r="J57" s="310">
        <f t="shared" si="10"/>
        <v>0.25806451612903225</v>
      </c>
      <c r="K57" s="262">
        <v>0.62</v>
      </c>
      <c r="L57" s="280">
        <f t="shared" si="18"/>
        <v>-0.12676056338028163</v>
      </c>
      <c r="M57" s="133">
        <v>0.71</v>
      </c>
      <c r="N57" s="17"/>
      <c r="O57" s="67"/>
      <c r="P57" s="3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s="6" customFormat="1" ht="11.25">
      <c r="A58" s="122" t="s">
        <v>99</v>
      </c>
      <c r="B58" s="274">
        <v>0.3</v>
      </c>
      <c r="C58" s="310">
        <f t="shared" si="15"/>
        <v>-0.73214285714285721</v>
      </c>
      <c r="D58" s="274">
        <v>1.1200000000000001</v>
      </c>
      <c r="E58" s="274">
        <v>2.37</v>
      </c>
      <c r="F58" s="310">
        <f t="shared" si="16"/>
        <v>1.3009708737864076</v>
      </c>
      <c r="G58" s="274">
        <v>1.03</v>
      </c>
      <c r="H58" s="310">
        <f t="shared" si="17"/>
        <v>-0.37195121951219512</v>
      </c>
      <c r="I58" s="274">
        <v>1.64</v>
      </c>
      <c r="J58" s="310">
        <f t="shared" si="10"/>
        <v>1.4477611940298503</v>
      </c>
      <c r="K58" s="261">
        <v>0.67</v>
      </c>
      <c r="L58" s="280">
        <f t="shared" si="18"/>
        <v>-0.51449275362318836</v>
      </c>
      <c r="M58" s="132">
        <v>1.38</v>
      </c>
      <c r="N58" s="17"/>
      <c r="O58" s="67"/>
      <c r="P58" s="3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s="2" customFormat="1" ht="11.25">
      <c r="A59" s="122" t="s">
        <v>100</v>
      </c>
      <c r="B59" s="274">
        <v>0.24</v>
      </c>
      <c r="C59" s="310">
        <f t="shared" si="15"/>
        <v>0.19999999999999996</v>
      </c>
      <c r="D59" s="274">
        <v>0.2</v>
      </c>
      <c r="E59" s="274">
        <v>0.49</v>
      </c>
      <c r="F59" s="310">
        <f t="shared" si="16"/>
        <v>0.48484848484848486</v>
      </c>
      <c r="G59" s="274">
        <v>0.33</v>
      </c>
      <c r="H59" s="310">
        <f t="shared" si="17"/>
        <v>0.13793103448275867</v>
      </c>
      <c r="I59" s="274">
        <v>0.28999999999999998</v>
      </c>
      <c r="J59" s="310">
        <f t="shared" si="10"/>
        <v>-0.55384615384615388</v>
      </c>
      <c r="K59" s="261">
        <v>0.65</v>
      </c>
      <c r="L59" s="280">
        <f t="shared" si="18"/>
        <v>20.666666666666668</v>
      </c>
      <c r="M59" s="132">
        <v>0.03</v>
      </c>
      <c r="N59" s="17"/>
      <c r="O59" s="67"/>
      <c r="P59" s="38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6" customFormat="1" ht="11.25">
      <c r="A60" s="122" t="s">
        <v>101</v>
      </c>
      <c r="B60" s="274">
        <v>0.32</v>
      </c>
      <c r="C60" s="310">
        <f t="shared" si="15"/>
        <v>2.5555555555555558</v>
      </c>
      <c r="D60" s="274">
        <v>0.09</v>
      </c>
      <c r="E60" s="274">
        <v>0.33</v>
      </c>
      <c r="F60" s="310">
        <f t="shared" si="16"/>
        <v>-0.108108108108108</v>
      </c>
      <c r="G60" s="274">
        <v>0.37</v>
      </c>
      <c r="H60" s="310">
        <f t="shared" si="17"/>
        <v>0.42307692307692291</v>
      </c>
      <c r="I60" s="274">
        <v>0.26</v>
      </c>
      <c r="J60" s="310">
        <f t="shared" si="10"/>
        <v>-0.62318840579710144</v>
      </c>
      <c r="K60" s="261">
        <v>0.69000000000000006</v>
      </c>
      <c r="L60" s="280">
        <f t="shared" si="18"/>
        <v>-0.15853658536585358</v>
      </c>
      <c r="M60" s="132">
        <v>0.82</v>
      </c>
      <c r="N60" s="17"/>
      <c r="O60" s="67"/>
      <c r="P60" s="3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s="6" customFormat="1" ht="11.25">
      <c r="A61" s="122" t="s">
        <v>102</v>
      </c>
      <c r="B61" s="274">
        <v>0.06</v>
      </c>
      <c r="C61" s="310">
        <f t="shared" si="15"/>
        <v>-0.77777777777777779</v>
      </c>
      <c r="D61" s="274">
        <v>0.27</v>
      </c>
      <c r="E61" s="274">
        <v>0.44</v>
      </c>
      <c r="F61" s="310">
        <f t="shared" si="16"/>
        <v>0.33333333333333326</v>
      </c>
      <c r="G61" s="274">
        <v>0.33</v>
      </c>
      <c r="H61" s="310">
        <f t="shared" si="17"/>
        <v>3.125</v>
      </c>
      <c r="I61" s="274">
        <v>0.08</v>
      </c>
      <c r="J61" s="310">
        <f t="shared" si="10"/>
        <v>-0.4285714285714286</v>
      </c>
      <c r="K61" s="261">
        <v>0.14000000000000001</v>
      </c>
      <c r="L61" s="280">
        <f t="shared" si="18"/>
        <v>-0.2222222222222221</v>
      </c>
      <c r="M61" s="132">
        <v>0.18</v>
      </c>
      <c r="N61" s="17"/>
      <c r="O61" s="67"/>
      <c r="P61" s="3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s="6" customFormat="1" ht="11.25">
      <c r="A62" s="122" t="s">
        <v>103</v>
      </c>
      <c r="B62" s="274">
        <v>0.02</v>
      </c>
      <c r="C62" s="310">
        <f t="shared" si="15"/>
        <v>-0.77777777777777779</v>
      </c>
      <c r="D62" s="274">
        <v>0.09</v>
      </c>
      <c r="E62" s="274">
        <v>0.13</v>
      </c>
      <c r="F62" s="310">
        <f t="shared" si="16"/>
        <v>-0.58064516129032251</v>
      </c>
      <c r="G62" s="274">
        <v>0.31</v>
      </c>
      <c r="H62" s="310">
        <f t="shared" si="17"/>
        <v>0</v>
      </c>
      <c r="I62" s="274">
        <v>0.31</v>
      </c>
      <c r="J62" s="310">
        <f t="shared" si="10"/>
        <v>1.2142857142857144</v>
      </c>
      <c r="K62" s="261">
        <v>0.13999999999999999</v>
      </c>
      <c r="L62" s="280">
        <f t="shared" si="18"/>
        <v>-0.76666666666666672</v>
      </c>
      <c r="M62" s="132">
        <v>0.6</v>
      </c>
      <c r="N62" s="17"/>
      <c r="O62" s="67"/>
      <c r="P62" s="3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s="6" customFormat="1" ht="11.25">
      <c r="A63" s="122" t="s">
        <v>104</v>
      </c>
      <c r="B63" s="274">
        <v>12.87</v>
      </c>
      <c r="C63" s="310">
        <f>IF((+B63/D63)&lt;0,"n.m.",IF(B63&lt;0,(+B63/D63-1)*-1,(+B63/D63-1)))</f>
        <v>17.92647058823529</v>
      </c>
      <c r="D63" s="274">
        <v>0.68</v>
      </c>
      <c r="E63" s="274">
        <v>13.97</v>
      </c>
      <c r="F63" s="310">
        <f t="shared" si="16"/>
        <v>6.5923913043478262</v>
      </c>
      <c r="G63" s="274">
        <v>1.84</v>
      </c>
      <c r="H63" s="310">
        <f t="shared" si="17"/>
        <v>45</v>
      </c>
      <c r="I63" s="274">
        <v>0.04</v>
      </c>
      <c r="J63" s="310">
        <f t="shared" si="10"/>
        <v>-0.92727272727272725</v>
      </c>
      <c r="K63" s="261">
        <v>0.55000000000000004</v>
      </c>
      <c r="L63" s="280">
        <f t="shared" si="18"/>
        <v>-5.1724137931034364E-2</v>
      </c>
      <c r="M63" s="132">
        <v>0.57999999999999996</v>
      </c>
      <c r="N63" s="18"/>
      <c r="O63" s="70"/>
      <c r="P63" s="3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s="6" customFormat="1" ht="11.25">
      <c r="A64" s="122" t="s">
        <v>105</v>
      </c>
      <c r="B64" s="276">
        <v>0</v>
      </c>
      <c r="C64" s="310">
        <f>IF((+B64/D64)&lt;0,"n.m.",IF(B64&lt;0,(+B64/D64-1)*-1,(+B64/D64-1)))</f>
        <v>-1</v>
      </c>
      <c r="D64" s="276">
        <v>0.01</v>
      </c>
      <c r="E64" s="276">
        <v>0.01</v>
      </c>
      <c r="F64" s="310"/>
      <c r="G64" s="276">
        <v>0</v>
      </c>
      <c r="H64" s="310">
        <f t="shared" si="17"/>
        <v>-1</v>
      </c>
      <c r="I64" s="276">
        <v>0.13</v>
      </c>
      <c r="J64" s="310">
        <f t="shared" si="10"/>
        <v>-0.86170212765957444</v>
      </c>
      <c r="K64" s="263">
        <v>0.94</v>
      </c>
      <c r="L64" s="280">
        <f t="shared" si="18"/>
        <v>-0.8041666666666667</v>
      </c>
      <c r="M64" s="134">
        <v>4.8</v>
      </c>
      <c r="N64" s="17"/>
      <c r="O64" s="7"/>
      <c r="P64" s="17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6" customFormat="1" ht="11.25">
      <c r="A65" s="122" t="s">
        <v>106</v>
      </c>
      <c r="B65" s="276">
        <v>0.02</v>
      </c>
      <c r="C65" s="310">
        <f t="shared" ref="C65:C71" si="19">IF((+B65/D65)&lt;0,"n.m.",IF(B65&lt;0,(+B65/D65-1)*-1,(+B65/D65-1)))</f>
        <v>-0.33333333333333326</v>
      </c>
      <c r="D65" s="276">
        <v>0.03</v>
      </c>
      <c r="E65" s="276">
        <v>7.0000000000000007E-2</v>
      </c>
      <c r="F65" s="310">
        <f t="shared" si="16"/>
        <v>-0.72</v>
      </c>
      <c r="G65" s="276">
        <v>0.25</v>
      </c>
      <c r="H65" s="310">
        <f t="shared" si="17"/>
        <v>8.6956521739130377E-2</v>
      </c>
      <c r="I65" s="276">
        <v>0.23</v>
      </c>
      <c r="J65" s="310">
        <f t="shared" si="10"/>
        <v>-0.14814814814814814</v>
      </c>
      <c r="K65" s="263">
        <v>0.27</v>
      </c>
      <c r="L65" s="280">
        <f t="shared" si="18"/>
        <v>0.6875</v>
      </c>
      <c r="M65" s="134">
        <v>0.16</v>
      </c>
      <c r="N65" s="17"/>
      <c r="O65" s="7"/>
      <c r="P65" s="17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s="6" customFormat="1" ht="11.25">
      <c r="A66" s="125" t="s">
        <v>86</v>
      </c>
      <c r="B66" s="187">
        <f>B44</f>
        <v>16.62</v>
      </c>
      <c r="C66" s="310">
        <f t="shared" si="19"/>
        <v>-0.15204081632653066</v>
      </c>
      <c r="D66" s="187">
        <f>D44</f>
        <v>19.600000000000001</v>
      </c>
      <c r="E66" s="187">
        <f>E44</f>
        <v>58.97</v>
      </c>
      <c r="F66" s="310">
        <f t="shared" si="16"/>
        <v>0.25095460330929154</v>
      </c>
      <c r="G66" s="187">
        <f>G44</f>
        <v>47.14</v>
      </c>
      <c r="H66" s="310">
        <f t="shared" si="17"/>
        <v>-0.25996860282574574</v>
      </c>
      <c r="I66" s="135">
        <f>I44</f>
        <v>63.7</v>
      </c>
      <c r="J66" s="310">
        <f t="shared" si="10"/>
        <v>-0.18007465568284198</v>
      </c>
      <c r="K66" s="187">
        <f>K44</f>
        <v>77.69</v>
      </c>
      <c r="L66" s="280">
        <f t="shared" si="18"/>
        <v>0.48319969453990064</v>
      </c>
      <c r="M66" s="135">
        <f>M44</f>
        <v>52.38</v>
      </c>
      <c r="N66" s="17"/>
      <c r="O66" s="67"/>
      <c r="P66" s="17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s="6" customFormat="1" ht="11.25">
      <c r="A67" s="125" t="s">
        <v>87</v>
      </c>
      <c r="B67" s="187">
        <f>B45</f>
        <v>10.23</v>
      </c>
      <c r="C67" s="310">
        <f t="shared" si="19"/>
        <v>-0.18225419664268583</v>
      </c>
      <c r="D67" s="187">
        <f>D45</f>
        <v>12.51</v>
      </c>
      <c r="E67" s="187">
        <f>E45</f>
        <v>26.95</v>
      </c>
      <c r="F67" s="310">
        <f t="shared" si="16"/>
        <v>-0.15649452269170583</v>
      </c>
      <c r="G67" s="187">
        <f>G45</f>
        <v>31.95</v>
      </c>
      <c r="H67" s="310">
        <f t="shared" si="17"/>
        <v>-0.11789066813914961</v>
      </c>
      <c r="I67" s="135">
        <f>I45</f>
        <v>36.22</v>
      </c>
      <c r="J67" s="310">
        <f t="shared" si="10"/>
        <v>3.6634230108757881E-2</v>
      </c>
      <c r="K67" s="187">
        <f>K45</f>
        <v>34.94</v>
      </c>
      <c r="L67" s="280">
        <f t="shared" si="18"/>
        <v>7.772979642196165E-2</v>
      </c>
      <c r="M67" s="135">
        <f>M45</f>
        <v>32.42</v>
      </c>
      <c r="N67" s="17"/>
      <c r="O67" s="67"/>
      <c r="P67" s="17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s="2" customFormat="1" ht="11.25">
      <c r="A68" s="125" t="s">
        <v>107</v>
      </c>
      <c r="B68" s="186">
        <f>B46+B47+B48+B49+B50+B51+B52+B53+B54+B55</f>
        <v>18.559999999999999</v>
      </c>
      <c r="C68" s="310">
        <f t="shared" si="19"/>
        <v>5.4171180931741336E-3</v>
      </c>
      <c r="D68" s="186">
        <f>D46+D47+D48+D49+D50+D51+D52+D53+D54+D55</f>
        <v>18.460000000000004</v>
      </c>
      <c r="E68" s="186">
        <f>E46+E47+E48+E49+E50+E51+E52+E53+E54+E55</f>
        <v>37.970000000000006</v>
      </c>
      <c r="F68" s="310">
        <f t="shared" si="16"/>
        <v>0.61231422505307842</v>
      </c>
      <c r="G68" s="186">
        <f>G46+G47+G48+G49+G50+G51+G52+G53+G54+G55</f>
        <v>23.550000000000004</v>
      </c>
      <c r="H68" s="310">
        <f t="shared" si="17"/>
        <v>0.1376811594202898</v>
      </c>
      <c r="I68" s="133">
        <f>I46+I47+I48+I49+I50+I51+I52+I53+I54+I55</f>
        <v>20.700000000000003</v>
      </c>
      <c r="J68" s="310">
        <f t="shared" si="10"/>
        <v>-0.20598388952819313</v>
      </c>
      <c r="K68" s="186">
        <f>K46+K47+K48+K49+K50+K51+K52+K53+K54+K55</f>
        <v>26.069999999999997</v>
      </c>
      <c r="L68" s="280">
        <f t="shared" si="18"/>
        <v>-0.32056293979671635</v>
      </c>
      <c r="M68" s="133">
        <f>M46+M47+M48+M49+M50+M51+M52+M53+M54+M55</f>
        <v>38.370000000000005</v>
      </c>
      <c r="N68" s="12"/>
      <c r="O68" s="67"/>
      <c r="P68" s="12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s="2" customFormat="1" ht="11.25">
      <c r="A69" s="125" t="s">
        <v>108</v>
      </c>
      <c r="B69" s="186">
        <f>B56+B57+B58+B59+B60+B61</f>
        <v>7.27</v>
      </c>
      <c r="C69" s="310">
        <f t="shared" si="19"/>
        <v>1.0712250712250708</v>
      </c>
      <c r="D69" s="186">
        <f>D56+D57+D58+D59+D60+D61</f>
        <v>3.5100000000000002</v>
      </c>
      <c r="E69" s="186">
        <f>E56+E57+E58+E59+E60+E61</f>
        <v>6.61</v>
      </c>
      <c r="F69" s="310">
        <f t="shared" si="16"/>
        <v>-0.38796296296296284</v>
      </c>
      <c r="G69" s="186">
        <f>G56+G57+G58+G59+G60+G61</f>
        <v>10.799999999999999</v>
      </c>
      <c r="H69" s="310">
        <f t="shared" si="17"/>
        <v>-2.4390243902438935E-2</v>
      </c>
      <c r="I69" s="133">
        <f>I56+I57+I58+I59+I60+I61</f>
        <v>11.069999999999999</v>
      </c>
      <c r="J69" s="310">
        <f t="shared" si="10"/>
        <v>-0.43664122137404593</v>
      </c>
      <c r="K69" s="186">
        <f>K56+K57+K58+K59+K60+K61</f>
        <v>19.650000000000002</v>
      </c>
      <c r="L69" s="280">
        <f t="shared" si="18"/>
        <v>1.8854625550660793</v>
      </c>
      <c r="M69" s="133">
        <f>M56+M57+M58+M59+M60+M61</f>
        <v>6.8100000000000005</v>
      </c>
      <c r="N69" s="12"/>
      <c r="O69" s="67"/>
      <c r="P69" s="12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s="6" customFormat="1" ht="11.25">
      <c r="A70" s="125" t="s">
        <v>109</v>
      </c>
      <c r="B70" s="186">
        <f>B62+B63+B64+B65</f>
        <v>12.909999999999998</v>
      </c>
      <c r="C70" s="310">
        <f t="shared" si="19"/>
        <v>14.938271604938269</v>
      </c>
      <c r="D70" s="186">
        <f>D62+D63+D64+D65</f>
        <v>0.81</v>
      </c>
      <c r="E70" s="186">
        <f>E62+E63+E64+E65</f>
        <v>14.180000000000001</v>
      </c>
      <c r="F70" s="310">
        <f t="shared" si="16"/>
        <v>4.9083333333333341</v>
      </c>
      <c r="G70" s="186">
        <f>G62+G63+G64+G65</f>
        <v>2.4</v>
      </c>
      <c r="H70" s="310">
        <f t="shared" si="17"/>
        <v>2.380281690140845</v>
      </c>
      <c r="I70" s="133">
        <f>I62+I63+I64+I65</f>
        <v>0.71</v>
      </c>
      <c r="J70" s="310">
        <f t="shared" si="10"/>
        <v>-0.62631578947368416</v>
      </c>
      <c r="K70" s="186">
        <f>K62+K63+K64+K65</f>
        <v>1.9</v>
      </c>
      <c r="L70" s="280">
        <f t="shared" si="18"/>
        <v>-0.69055374592833874</v>
      </c>
      <c r="M70" s="133">
        <f>M62+M63+M64+M65</f>
        <v>6.14</v>
      </c>
      <c r="N70" s="12"/>
      <c r="O70" s="67"/>
      <c r="P70" s="12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s="59" customFormat="1" ht="10.35" customHeight="1">
      <c r="A71" s="128" t="s">
        <v>113</v>
      </c>
      <c r="B71" s="264">
        <f>SUM(B66:B70)</f>
        <v>65.589999999999989</v>
      </c>
      <c r="C71" s="309">
        <f t="shared" si="19"/>
        <v>0.19493532519584589</v>
      </c>
      <c r="D71" s="264">
        <f>SUM(D66:D70)</f>
        <v>54.890000000000008</v>
      </c>
      <c r="E71" s="264">
        <f>SUM(E66:E70)</f>
        <v>144.68000000000004</v>
      </c>
      <c r="F71" s="309">
        <f t="shared" si="16"/>
        <v>0.24896408839779016</v>
      </c>
      <c r="G71" s="264">
        <f>SUM(G66:G70)</f>
        <v>115.84000000000002</v>
      </c>
      <c r="H71" s="309">
        <f t="shared" si="17"/>
        <v>-0.12507552870090621</v>
      </c>
      <c r="I71" s="136">
        <f>SUM(I66:I70)</f>
        <v>132.4</v>
      </c>
      <c r="J71" s="309">
        <f t="shared" si="10"/>
        <v>-0.17379095163806546</v>
      </c>
      <c r="K71" s="264">
        <f>SUM(K66:K70)</f>
        <v>160.25</v>
      </c>
      <c r="L71" s="281">
        <f t="shared" si="18"/>
        <v>0.17727005583308841</v>
      </c>
      <c r="M71" s="136">
        <f>SUM(M66:M70)</f>
        <v>136.12</v>
      </c>
    </row>
    <row r="72" spans="1:27" ht="10.35" customHeight="1">
      <c r="A72" s="122"/>
      <c r="B72" s="474"/>
      <c r="C72" s="472"/>
      <c r="D72" s="474"/>
      <c r="E72" s="125"/>
      <c r="F72" s="310"/>
      <c r="G72" s="125"/>
      <c r="H72" s="310"/>
      <c r="I72" s="125"/>
      <c r="J72" s="310"/>
      <c r="K72" s="125"/>
      <c r="L72" s="125"/>
      <c r="M72" s="125"/>
    </row>
    <row r="73" spans="1:27" ht="10.35" customHeight="1">
      <c r="A73" s="137" t="s">
        <v>2</v>
      </c>
      <c r="B73" s="475"/>
      <c r="C73" s="472"/>
      <c r="D73" s="475"/>
      <c r="E73" s="138"/>
      <c r="F73" s="310"/>
      <c r="G73" s="138"/>
      <c r="H73" s="310"/>
      <c r="I73" s="138"/>
      <c r="J73" s="310"/>
      <c r="K73" s="138"/>
      <c r="L73" s="138"/>
      <c r="M73" s="138"/>
    </row>
    <row r="74" spans="1:27" s="2" customFormat="1" ht="11.25">
      <c r="A74" s="122" t="s">
        <v>86</v>
      </c>
      <c r="B74" s="346">
        <v>3.54</v>
      </c>
      <c r="C74" s="310">
        <f t="shared" ref="C74:C77" si="20">IF((+B74/D74)&lt;0,"n.m.",IF(B74&lt;0,(+B74/D74-1)*-1,(+B74/D74-1)))</f>
        <v>6.3063063063063085E-2</v>
      </c>
      <c r="D74" s="346">
        <v>3.33</v>
      </c>
      <c r="E74" s="346">
        <v>3.17</v>
      </c>
      <c r="F74" s="310">
        <f t="shared" ref="F74:F81" si="21">IF((+E74/G74)&lt;0,"n.m.",IF(E74&lt;0,(+E74/G74-1)*-1,(+E74/G74-1)))</f>
        <v>1.3308823529411762</v>
      </c>
      <c r="G74" s="346">
        <v>1.36</v>
      </c>
      <c r="H74" s="310">
        <f t="shared" ref="H74:H101" si="22">IF((+G74/I74)&lt;0,"n.m.",IF(G74&lt;0,(+G74/I74-1)*-1,(+G74/I74-1)))</f>
        <v>-0.44715447154471544</v>
      </c>
      <c r="I74" s="274">
        <v>2.46</v>
      </c>
      <c r="J74" s="310">
        <f t="shared" si="10"/>
        <v>-0.59203980099502496</v>
      </c>
      <c r="K74" s="274">
        <v>6.03</v>
      </c>
      <c r="L74" s="280">
        <f t="shared" ref="L74:L101" si="23">IF((+K74/M74)&lt;0,"n.m.",IF(K74&lt;0,(+K74/M74-1)*-1,(+K74/M74-1)))</f>
        <v>0.21084337349397586</v>
      </c>
      <c r="M74" s="132">
        <v>4.9800000000000004</v>
      </c>
      <c r="N74" s="17"/>
      <c r="O74" s="67"/>
      <c r="P74" s="38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s="2" customFormat="1" ht="11.25">
      <c r="A75" s="122" t="s">
        <v>87</v>
      </c>
      <c r="B75" s="346">
        <v>0.08</v>
      </c>
      <c r="C75" s="310">
        <f t="shared" si="20"/>
        <v>0</v>
      </c>
      <c r="D75" s="346">
        <v>0.08</v>
      </c>
      <c r="E75" s="346">
        <v>0.06</v>
      </c>
      <c r="F75" s="310">
        <f t="shared" si="21"/>
        <v>-0.6470588235294118</v>
      </c>
      <c r="G75" s="346">
        <v>0.17</v>
      </c>
      <c r="H75" s="310">
        <f t="shared" si="22"/>
        <v>-0.65999999999999992</v>
      </c>
      <c r="I75" s="274">
        <v>0.5</v>
      </c>
      <c r="J75" s="310">
        <f t="shared" si="10"/>
        <v>-0.13793103448275856</v>
      </c>
      <c r="K75" s="274">
        <v>0.57999999999999996</v>
      </c>
      <c r="L75" s="280">
        <f t="shared" si="23"/>
        <v>3.1428571428571423</v>
      </c>
      <c r="M75" s="132">
        <v>0.14000000000000001</v>
      </c>
      <c r="N75" s="17"/>
      <c r="O75" s="67"/>
      <c r="P75" s="38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s="2" customFormat="1" ht="11.25">
      <c r="A76" s="122" t="s">
        <v>88</v>
      </c>
      <c r="B76" s="346">
        <v>0</v>
      </c>
      <c r="C76" s="310">
        <f t="shared" si="20"/>
        <v>-1</v>
      </c>
      <c r="D76" s="346">
        <v>0.06</v>
      </c>
      <c r="E76" s="346">
        <v>0</v>
      </c>
      <c r="F76" s="310">
        <f t="shared" si="21"/>
        <v>-1</v>
      </c>
      <c r="G76" s="346">
        <v>0.06</v>
      </c>
      <c r="H76" s="310">
        <f t="shared" si="22"/>
        <v>-0.952755905511811</v>
      </c>
      <c r="I76" s="274">
        <v>1.27</v>
      </c>
      <c r="J76" s="310">
        <f t="shared" si="10"/>
        <v>126</v>
      </c>
      <c r="K76" s="274">
        <v>0.01</v>
      </c>
      <c r="L76" s="280">
        <f t="shared" si="23"/>
        <v>-0.967741935483871</v>
      </c>
      <c r="M76" s="132">
        <v>0.31</v>
      </c>
      <c r="N76" s="17"/>
      <c r="O76" s="67"/>
      <c r="P76" s="38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s="2" customFormat="1" ht="11.25">
      <c r="A77" s="122" t="s">
        <v>89</v>
      </c>
      <c r="B77" s="346">
        <v>0.75</v>
      </c>
      <c r="C77" s="310">
        <f t="shared" si="20"/>
        <v>1.8846153846153846</v>
      </c>
      <c r="D77" s="346">
        <v>0.26</v>
      </c>
      <c r="E77" s="346">
        <v>0.31</v>
      </c>
      <c r="F77" s="310">
        <f t="shared" si="21"/>
        <v>0.19230769230769229</v>
      </c>
      <c r="G77" s="346">
        <v>0.26</v>
      </c>
      <c r="H77" s="310">
        <f t="shared" si="22"/>
        <v>-0.60606060606060608</v>
      </c>
      <c r="I77" s="274">
        <v>0.66</v>
      </c>
      <c r="J77" s="310">
        <f t="shared" ref="J77:J101" si="24">IF((+I77/K77)&lt;0,"n.m.",IF(I77&lt;0,(+I77/K77-1)*-1,(+I77/K77-1)))</f>
        <v>0.29411764705882359</v>
      </c>
      <c r="K77" s="274">
        <v>0.51</v>
      </c>
      <c r="L77" s="280">
        <f t="shared" si="23"/>
        <v>0.8214285714285714</v>
      </c>
      <c r="M77" s="132">
        <v>0.28000000000000003</v>
      </c>
      <c r="N77" s="17"/>
      <c r="O77" s="67"/>
      <c r="P77" s="38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s="6" customFormat="1" ht="11.25">
      <c r="A78" s="122" t="s">
        <v>90</v>
      </c>
      <c r="B78" s="346">
        <v>0</v>
      </c>
      <c r="C78" s="310"/>
      <c r="D78" s="346">
        <v>0</v>
      </c>
      <c r="E78" s="346">
        <v>0</v>
      </c>
      <c r="F78" s="310"/>
      <c r="G78" s="346">
        <v>0</v>
      </c>
      <c r="H78" s="310"/>
      <c r="I78" s="274">
        <v>0</v>
      </c>
      <c r="J78" s="310"/>
      <c r="K78" s="274">
        <v>0</v>
      </c>
      <c r="L78" s="280"/>
      <c r="M78" s="132">
        <v>0</v>
      </c>
      <c r="N78" s="17"/>
      <c r="O78" s="67"/>
      <c r="P78" s="3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s="6" customFormat="1" ht="11.25">
      <c r="A79" s="122" t="s">
        <v>132</v>
      </c>
      <c r="B79" s="346">
        <v>0</v>
      </c>
      <c r="C79" s="310"/>
      <c r="D79" s="346">
        <v>0</v>
      </c>
      <c r="E79" s="346">
        <v>0</v>
      </c>
      <c r="F79" s="310"/>
      <c r="G79" s="346">
        <v>0</v>
      </c>
      <c r="H79" s="310"/>
      <c r="I79" s="274">
        <v>0</v>
      </c>
      <c r="J79" s="310"/>
      <c r="K79" s="274">
        <v>0</v>
      </c>
      <c r="L79" s="280"/>
      <c r="M79" s="132">
        <v>0</v>
      </c>
      <c r="N79" s="17"/>
      <c r="O79" s="67"/>
      <c r="P79" s="3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s="6" customFormat="1" ht="11.25">
      <c r="A80" s="122" t="s">
        <v>91</v>
      </c>
      <c r="B80" s="346">
        <v>0.12</v>
      </c>
      <c r="C80" s="310">
        <f t="shared" ref="C80:C81" si="25">IF((+B80/D80)&lt;0,"n.m.",IF(B80&lt;0,(+B80/D80-1)*-1,(+B80/D80-1)))</f>
        <v>-0.53846153846153855</v>
      </c>
      <c r="D80" s="346">
        <v>0.26</v>
      </c>
      <c r="E80" s="346">
        <v>0.13</v>
      </c>
      <c r="F80" s="310">
        <f t="shared" si="21"/>
        <v>-0.5185185185185186</v>
      </c>
      <c r="G80" s="346">
        <v>0.27</v>
      </c>
      <c r="H80" s="310">
        <f t="shared" si="22"/>
        <v>-0.22857142857142865</v>
      </c>
      <c r="I80" s="274">
        <v>0.35000000000000003</v>
      </c>
      <c r="J80" s="310">
        <f t="shared" si="24"/>
        <v>34</v>
      </c>
      <c r="K80" s="274">
        <v>0.01</v>
      </c>
      <c r="L80" s="280">
        <f t="shared" si="23"/>
        <v>-0.875</v>
      </c>
      <c r="M80" s="132">
        <v>0.08</v>
      </c>
      <c r="N80" s="17"/>
      <c r="O80" s="67"/>
      <c r="P80" s="3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s="6" customFormat="1" ht="11.25">
      <c r="A81" s="122" t="s">
        <v>92</v>
      </c>
      <c r="B81" s="346">
        <v>0.01</v>
      </c>
      <c r="C81" s="310">
        <f t="shared" si="25"/>
        <v>0</v>
      </c>
      <c r="D81" s="346">
        <v>0.01</v>
      </c>
      <c r="E81" s="346">
        <v>0.01</v>
      </c>
      <c r="F81" s="310">
        <f t="shared" si="21"/>
        <v>-0.66666666666666663</v>
      </c>
      <c r="G81" s="346">
        <v>0.03</v>
      </c>
      <c r="H81" s="310">
        <f t="shared" si="22"/>
        <v>0.5</v>
      </c>
      <c r="I81" s="274">
        <v>0.02</v>
      </c>
      <c r="J81" s="310">
        <f t="shared" si="24"/>
        <v>1</v>
      </c>
      <c r="K81" s="274">
        <v>0.01</v>
      </c>
      <c r="L81" s="280">
        <f t="shared" si="23"/>
        <v>-0.5</v>
      </c>
      <c r="M81" s="132">
        <v>0.02</v>
      </c>
      <c r="N81" s="17"/>
      <c r="O81" s="67"/>
      <c r="P81" s="3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s="6" customFormat="1" ht="11.25">
      <c r="A82" s="122" t="s">
        <v>93</v>
      </c>
      <c r="B82" s="346">
        <v>0</v>
      </c>
      <c r="C82" s="310"/>
      <c r="D82" s="346">
        <v>0</v>
      </c>
      <c r="E82" s="346">
        <v>0</v>
      </c>
      <c r="F82" s="310"/>
      <c r="G82" s="346">
        <v>0</v>
      </c>
      <c r="H82" s="310"/>
      <c r="I82" s="274">
        <v>0</v>
      </c>
      <c r="J82" s="310"/>
      <c r="K82" s="274">
        <v>0</v>
      </c>
      <c r="L82" s="280"/>
      <c r="M82" s="132">
        <v>0</v>
      </c>
      <c r="N82" s="17"/>
      <c r="O82" s="67"/>
      <c r="P82" s="3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s="6" customFormat="1" ht="11.25">
      <c r="A83" s="122" t="s">
        <v>94</v>
      </c>
      <c r="B83" s="346">
        <v>0</v>
      </c>
      <c r="C83" s="310"/>
      <c r="D83" s="346">
        <v>0</v>
      </c>
      <c r="E83" s="346">
        <v>0</v>
      </c>
      <c r="F83" s="310"/>
      <c r="G83" s="346">
        <v>0</v>
      </c>
      <c r="H83" s="310"/>
      <c r="I83" s="274">
        <v>0</v>
      </c>
      <c r="J83" s="310"/>
      <c r="K83" s="274">
        <v>0</v>
      </c>
      <c r="L83" s="280"/>
      <c r="M83" s="132">
        <v>0</v>
      </c>
      <c r="N83" s="17"/>
      <c r="O83" s="67"/>
      <c r="P83" s="3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s="6" customFormat="1" ht="11.25">
      <c r="A84" s="122" t="s">
        <v>95</v>
      </c>
      <c r="B84" s="346">
        <v>0</v>
      </c>
      <c r="C84" s="310"/>
      <c r="D84" s="346">
        <v>0</v>
      </c>
      <c r="E84" s="346">
        <v>0</v>
      </c>
      <c r="F84" s="310"/>
      <c r="G84" s="346">
        <v>0</v>
      </c>
      <c r="H84" s="310"/>
      <c r="I84" s="274">
        <v>0</v>
      </c>
      <c r="J84" s="310"/>
      <c r="K84" s="274">
        <v>0</v>
      </c>
      <c r="L84" s="280"/>
      <c r="M84" s="132">
        <v>0</v>
      </c>
      <c r="N84" s="17"/>
      <c r="O84" s="67"/>
      <c r="P84" s="3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s="6" customFormat="1" ht="11.25">
      <c r="A85" s="122" t="s">
        <v>96</v>
      </c>
      <c r="B85" s="346">
        <v>0</v>
      </c>
      <c r="C85" s="310"/>
      <c r="D85" s="346">
        <v>0</v>
      </c>
      <c r="E85" s="346">
        <v>0</v>
      </c>
      <c r="F85" s="310"/>
      <c r="G85" s="346">
        <v>0</v>
      </c>
      <c r="H85" s="310"/>
      <c r="I85" s="274">
        <v>0</v>
      </c>
      <c r="J85" s="310"/>
      <c r="K85" s="274">
        <v>0</v>
      </c>
      <c r="L85" s="280"/>
      <c r="M85" s="132">
        <v>0</v>
      </c>
      <c r="N85" s="17"/>
      <c r="O85" s="67"/>
      <c r="P85" s="3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s="6" customFormat="1" ht="11.25">
      <c r="A86" s="122" t="s">
        <v>97</v>
      </c>
      <c r="B86" s="346">
        <v>0</v>
      </c>
      <c r="C86" s="310"/>
      <c r="D86" s="346">
        <v>0</v>
      </c>
      <c r="E86" s="346">
        <v>0</v>
      </c>
      <c r="F86" s="310"/>
      <c r="G86" s="346">
        <v>0</v>
      </c>
      <c r="H86" s="310"/>
      <c r="I86" s="274">
        <v>0</v>
      </c>
      <c r="J86" s="310"/>
      <c r="K86" s="274">
        <v>0</v>
      </c>
      <c r="L86" s="280">
        <f t="shared" si="23"/>
        <v>-1</v>
      </c>
      <c r="M86" s="132">
        <v>0.14000000000000001</v>
      </c>
      <c r="N86" s="17"/>
      <c r="O86" s="67"/>
      <c r="P86" s="3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s="6" customFormat="1" ht="11.25">
      <c r="A87" s="122" t="s">
        <v>98</v>
      </c>
      <c r="B87" s="346">
        <v>0</v>
      </c>
      <c r="C87" s="310"/>
      <c r="D87" s="346">
        <v>0</v>
      </c>
      <c r="E87" s="346">
        <v>0</v>
      </c>
      <c r="F87" s="310"/>
      <c r="G87" s="346">
        <v>0</v>
      </c>
      <c r="H87" s="310"/>
      <c r="I87" s="186">
        <v>0</v>
      </c>
      <c r="J87" s="310"/>
      <c r="K87" s="275">
        <v>0</v>
      </c>
      <c r="L87" s="280"/>
      <c r="M87" s="133">
        <v>0</v>
      </c>
      <c r="N87" s="17"/>
      <c r="O87" s="67"/>
      <c r="P87" s="3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s="6" customFormat="1" ht="11.25">
      <c r="A88" s="122" t="s">
        <v>99</v>
      </c>
      <c r="B88" s="346">
        <v>0</v>
      </c>
      <c r="C88" s="310"/>
      <c r="D88" s="346">
        <v>0</v>
      </c>
      <c r="E88" s="346">
        <v>0</v>
      </c>
      <c r="F88" s="310"/>
      <c r="G88" s="346">
        <v>0</v>
      </c>
      <c r="H88" s="310">
        <f t="shared" si="22"/>
        <v>-1</v>
      </c>
      <c r="I88" s="274">
        <v>0.05</v>
      </c>
      <c r="J88" s="310">
        <f t="shared" si="24"/>
        <v>-0.54545454545454541</v>
      </c>
      <c r="K88" s="274">
        <v>0.11</v>
      </c>
      <c r="L88" s="280">
        <f t="shared" si="23"/>
        <v>10</v>
      </c>
      <c r="M88" s="132">
        <v>0.01</v>
      </c>
      <c r="N88" s="17"/>
      <c r="O88" s="67"/>
      <c r="P88" s="3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s="2" customFormat="1" ht="11.25">
      <c r="A89" s="122" t="s">
        <v>100</v>
      </c>
      <c r="B89" s="346">
        <v>0</v>
      </c>
      <c r="C89" s="310"/>
      <c r="D89" s="346">
        <v>0</v>
      </c>
      <c r="E89" s="346">
        <v>0</v>
      </c>
      <c r="F89" s="310"/>
      <c r="G89" s="346">
        <v>0</v>
      </c>
      <c r="H89" s="310"/>
      <c r="I89" s="274">
        <v>0</v>
      </c>
      <c r="J89" s="310"/>
      <c r="K89" s="274">
        <v>0</v>
      </c>
      <c r="L89" s="280"/>
      <c r="M89" s="132">
        <v>0</v>
      </c>
      <c r="N89" s="17"/>
      <c r="O89" s="67"/>
      <c r="P89" s="38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s="6" customFormat="1" ht="11.25">
      <c r="A90" s="122" t="s">
        <v>101</v>
      </c>
      <c r="B90" s="346">
        <v>0</v>
      </c>
      <c r="C90" s="310"/>
      <c r="D90" s="346">
        <v>0</v>
      </c>
      <c r="E90" s="346">
        <v>0</v>
      </c>
      <c r="F90" s="310"/>
      <c r="G90" s="346">
        <v>0</v>
      </c>
      <c r="H90" s="310"/>
      <c r="I90" s="274">
        <v>0</v>
      </c>
      <c r="J90" s="310"/>
      <c r="K90" s="274">
        <v>0</v>
      </c>
      <c r="L90" s="280"/>
      <c r="M90" s="132">
        <v>0</v>
      </c>
      <c r="N90" s="17"/>
      <c r="O90" s="67"/>
      <c r="P90" s="3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s="6" customFormat="1" ht="11.25">
      <c r="A91" s="122" t="s">
        <v>102</v>
      </c>
      <c r="B91" s="346">
        <v>0</v>
      </c>
      <c r="C91" s="310"/>
      <c r="D91" s="346">
        <v>0</v>
      </c>
      <c r="E91" s="346">
        <v>0</v>
      </c>
      <c r="F91" s="310"/>
      <c r="G91" s="346">
        <v>0</v>
      </c>
      <c r="H91" s="310"/>
      <c r="I91" s="274">
        <v>0</v>
      </c>
      <c r="J91" s="310"/>
      <c r="K91" s="274">
        <v>0</v>
      </c>
      <c r="L91" s="280"/>
      <c r="M91" s="132">
        <v>0</v>
      </c>
      <c r="N91" s="17"/>
      <c r="O91" s="67"/>
      <c r="P91" s="3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s="6" customFormat="1" ht="11.25">
      <c r="A92" s="122" t="s">
        <v>103</v>
      </c>
      <c r="B92" s="346">
        <v>0</v>
      </c>
      <c r="C92" s="310"/>
      <c r="D92" s="346">
        <v>0</v>
      </c>
      <c r="E92" s="346">
        <v>0</v>
      </c>
      <c r="F92" s="310"/>
      <c r="G92" s="346">
        <v>0</v>
      </c>
      <c r="H92" s="310"/>
      <c r="I92" s="274">
        <v>0</v>
      </c>
      <c r="J92" s="310">
        <f t="shared" si="24"/>
        <v>-1</v>
      </c>
      <c r="K92" s="274">
        <v>0.49</v>
      </c>
      <c r="L92" s="280">
        <f t="shared" si="23"/>
        <v>0.19512195121951215</v>
      </c>
      <c r="M92" s="132">
        <v>0.41</v>
      </c>
      <c r="N92" s="17"/>
      <c r="O92" s="67"/>
      <c r="P92" s="3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s="6" customFormat="1" ht="11.25">
      <c r="A93" s="122" t="s">
        <v>104</v>
      </c>
      <c r="B93" s="346">
        <v>0</v>
      </c>
      <c r="C93" s="310"/>
      <c r="D93" s="346">
        <v>0</v>
      </c>
      <c r="E93" s="346">
        <v>0</v>
      </c>
      <c r="F93" s="310"/>
      <c r="G93" s="346">
        <v>0</v>
      </c>
      <c r="H93" s="310">
        <f t="shared" si="22"/>
        <v>-1</v>
      </c>
      <c r="I93" s="274">
        <v>0.02</v>
      </c>
      <c r="J93" s="310"/>
      <c r="K93" s="274">
        <v>0</v>
      </c>
      <c r="L93" s="280">
        <f t="shared" si="23"/>
        <v>-1</v>
      </c>
      <c r="M93" s="132">
        <v>0.08</v>
      </c>
      <c r="N93" s="18"/>
      <c r="O93" s="70"/>
      <c r="P93" s="3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s="6" customFormat="1" ht="11.25">
      <c r="A94" s="122" t="s">
        <v>105</v>
      </c>
      <c r="B94" s="352">
        <v>0</v>
      </c>
      <c r="C94" s="310"/>
      <c r="D94" s="352">
        <v>0</v>
      </c>
      <c r="E94" s="352">
        <v>0</v>
      </c>
      <c r="F94" s="310"/>
      <c r="G94" s="352">
        <v>0</v>
      </c>
      <c r="H94" s="310"/>
      <c r="I94" s="276">
        <v>0</v>
      </c>
      <c r="J94" s="310"/>
      <c r="K94" s="276">
        <v>0</v>
      </c>
      <c r="L94" s="280"/>
      <c r="M94" s="134">
        <v>0</v>
      </c>
      <c r="N94" s="17"/>
      <c r="O94" s="7"/>
      <c r="P94" s="17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s="6" customFormat="1" ht="11.25">
      <c r="A95" s="122" t="s">
        <v>106</v>
      </c>
      <c r="B95" s="352">
        <v>0</v>
      </c>
      <c r="C95" s="310"/>
      <c r="D95" s="352">
        <v>0</v>
      </c>
      <c r="E95" s="352">
        <v>0</v>
      </c>
      <c r="F95" s="310"/>
      <c r="G95" s="352">
        <v>0</v>
      </c>
      <c r="H95" s="310"/>
      <c r="I95" s="276">
        <v>0</v>
      </c>
      <c r="J95" s="310">
        <f t="shared" si="24"/>
        <v>-1</v>
      </c>
      <c r="K95" s="276">
        <v>0.05</v>
      </c>
      <c r="L95" s="280"/>
      <c r="M95" s="134">
        <v>0</v>
      </c>
      <c r="N95" s="17"/>
      <c r="O95" s="7"/>
      <c r="P95" s="17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s="6" customFormat="1" ht="11.25">
      <c r="A96" s="125" t="s">
        <v>86</v>
      </c>
      <c r="B96" s="187">
        <f>B74</f>
        <v>3.54</v>
      </c>
      <c r="C96" s="310">
        <f t="shared" ref="C96:C98" si="26">IF((+B96/D96)&lt;0,"n.m.",IF(B96&lt;0,(+B96/D96-1)*-1,(+B96/D96-1)))</f>
        <v>6.3063063063063085E-2</v>
      </c>
      <c r="D96" s="187">
        <f>D74</f>
        <v>3.33</v>
      </c>
      <c r="E96" s="187">
        <f>E74</f>
        <v>3.17</v>
      </c>
      <c r="F96" s="310">
        <f t="shared" ref="F96:F101" si="27">IF((+E96/G96)&lt;0,"n.m.",IF(E96&lt;0,(+E96/G96-1)*-1,(+E96/G96-1)))</f>
        <v>1.3308823529411762</v>
      </c>
      <c r="G96" s="187">
        <f>G74</f>
        <v>1.36</v>
      </c>
      <c r="H96" s="310">
        <f t="shared" si="22"/>
        <v>-0.44715447154471544</v>
      </c>
      <c r="I96" s="135">
        <f>I74</f>
        <v>2.46</v>
      </c>
      <c r="J96" s="310">
        <f t="shared" si="24"/>
        <v>-0.59203980099502496</v>
      </c>
      <c r="K96" s="187">
        <f>K74</f>
        <v>6.03</v>
      </c>
      <c r="L96" s="280">
        <f t="shared" si="23"/>
        <v>0.21084337349397586</v>
      </c>
      <c r="M96" s="135">
        <f>M74</f>
        <v>4.9800000000000004</v>
      </c>
      <c r="N96" s="17"/>
      <c r="O96" s="67"/>
      <c r="P96" s="17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s="6" customFormat="1" ht="11.25">
      <c r="A97" s="125" t="s">
        <v>87</v>
      </c>
      <c r="B97" s="187">
        <f>B75</f>
        <v>0.08</v>
      </c>
      <c r="C97" s="310">
        <f t="shared" si="26"/>
        <v>0</v>
      </c>
      <c r="D97" s="187">
        <f>D75</f>
        <v>0.08</v>
      </c>
      <c r="E97" s="187">
        <f>E75</f>
        <v>0.06</v>
      </c>
      <c r="F97" s="310">
        <f t="shared" si="27"/>
        <v>-0.6470588235294118</v>
      </c>
      <c r="G97" s="187">
        <f>G75</f>
        <v>0.17</v>
      </c>
      <c r="H97" s="310">
        <f t="shared" si="22"/>
        <v>-0.65999999999999992</v>
      </c>
      <c r="I97" s="135">
        <f>I75</f>
        <v>0.5</v>
      </c>
      <c r="J97" s="310">
        <f t="shared" si="24"/>
        <v>-0.13793103448275856</v>
      </c>
      <c r="K97" s="187">
        <f>K75</f>
        <v>0.57999999999999996</v>
      </c>
      <c r="L97" s="280">
        <f t="shared" si="23"/>
        <v>3.1428571428571423</v>
      </c>
      <c r="M97" s="135">
        <f>M75</f>
        <v>0.14000000000000001</v>
      </c>
      <c r="N97" s="17"/>
      <c r="O97" s="67"/>
      <c r="P97" s="17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s="2" customFormat="1" ht="11.25">
      <c r="A98" s="125" t="s">
        <v>107</v>
      </c>
      <c r="B98" s="186">
        <f>B76+B77+B78+B79+B80+B81+B82+B83+B84+B85</f>
        <v>0.88</v>
      </c>
      <c r="C98" s="310">
        <f t="shared" si="26"/>
        <v>0.49152542372881336</v>
      </c>
      <c r="D98" s="186">
        <f>D76+D77+D78+D79+D80+D81+D82+D83+D84+D85</f>
        <v>0.59000000000000008</v>
      </c>
      <c r="E98" s="186">
        <f>E76+E77+E78+E79+E80+E81+E82+E83+E84+E85</f>
        <v>0.45</v>
      </c>
      <c r="F98" s="310">
        <f t="shared" si="27"/>
        <v>-0.27419354838709686</v>
      </c>
      <c r="G98" s="186">
        <f>G76+G77+G78+G79+G80+G81+G82+G83+G84+G85</f>
        <v>0.62000000000000011</v>
      </c>
      <c r="H98" s="310">
        <f t="shared" si="22"/>
        <v>-0.73043478260869565</v>
      </c>
      <c r="I98" s="133">
        <f>I76+I77+I78+I79+I80+I81+I82+I83+I84+I85</f>
        <v>2.3000000000000003</v>
      </c>
      <c r="J98" s="310">
        <f t="shared" si="24"/>
        <v>3.2592592592592595</v>
      </c>
      <c r="K98" s="186">
        <f>K76+K77+K78+K79+K80+K81+K82+K83+K84+K85</f>
        <v>0.54</v>
      </c>
      <c r="L98" s="280">
        <f t="shared" si="23"/>
        <v>-0.21739130434782605</v>
      </c>
      <c r="M98" s="133">
        <f>M76+M77+M78+M79+M80+M81+M82+M83+M84+M85</f>
        <v>0.69000000000000006</v>
      </c>
      <c r="N98" s="12"/>
      <c r="O98" s="67"/>
      <c r="P98" s="12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s="2" customFormat="1" ht="11.25">
      <c r="A99" s="125" t="s">
        <v>108</v>
      </c>
      <c r="B99" s="186">
        <f>B86+B87+B88+B89+B90+B91</f>
        <v>0</v>
      </c>
      <c r="C99" s="310"/>
      <c r="D99" s="186">
        <f>D86+D87+D88+D89+D90+D91</f>
        <v>0</v>
      </c>
      <c r="E99" s="186">
        <f>E86+E87+E88+E89+E90+E91</f>
        <v>0</v>
      </c>
      <c r="F99" s="310"/>
      <c r="G99" s="186">
        <f>G86+G87+G88+G89+G90+G91</f>
        <v>0</v>
      </c>
      <c r="H99" s="310">
        <f t="shared" si="22"/>
        <v>-1</v>
      </c>
      <c r="I99" s="133">
        <f>I86+I87+I88+I89+I90+I91</f>
        <v>0.05</v>
      </c>
      <c r="J99" s="310">
        <f t="shared" si="24"/>
        <v>-0.54545454545454541</v>
      </c>
      <c r="K99" s="186">
        <f>K86+K87+K88+K89+K90+K91</f>
        <v>0.11</v>
      </c>
      <c r="L99" s="280">
        <f t="shared" si="23"/>
        <v>-0.26666666666666672</v>
      </c>
      <c r="M99" s="133">
        <f>M86+M87+M88+M89+M90+M91</f>
        <v>0.15000000000000002</v>
      </c>
      <c r="N99" s="12"/>
      <c r="O99" s="67"/>
      <c r="P99" s="12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s="6" customFormat="1" ht="11.25">
      <c r="A100" s="125" t="s">
        <v>109</v>
      </c>
      <c r="B100" s="186">
        <f>B92+B93+B94+B95</f>
        <v>0</v>
      </c>
      <c r="C100" s="310"/>
      <c r="D100" s="186">
        <f>D92+D93+D94+D95</f>
        <v>0</v>
      </c>
      <c r="E100" s="186">
        <f>E92+E93+E94+E95</f>
        <v>0</v>
      </c>
      <c r="F100" s="310"/>
      <c r="G100" s="186">
        <f>G92+G93+G94+G95</f>
        <v>0</v>
      </c>
      <c r="H100" s="310">
        <f t="shared" si="22"/>
        <v>-1</v>
      </c>
      <c r="I100" s="133">
        <f>I92+I93+I94+I95</f>
        <v>0.02</v>
      </c>
      <c r="J100" s="310">
        <f t="shared" si="24"/>
        <v>-0.96296296296296302</v>
      </c>
      <c r="K100" s="292">
        <f>K92+K93+K94+K95</f>
        <v>0.54</v>
      </c>
      <c r="L100" s="280">
        <f t="shared" si="23"/>
        <v>0.10204081632653073</v>
      </c>
      <c r="M100" s="292">
        <f>M92+M93+M94+M95</f>
        <v>0.49</v>
      </c>
      <c r="N100" s="12"/>
      <c r="O100" s="67"/>
      <c r="P100" s="12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s="59" customFormat="1" ht="10.35" customHeight="1">
      <c r="A101" s="114" t="s">
        <v>114</v>
      </c>
      <c r="B101" s="271">
        <f>SUM(B96:B100)</f>
        <v>4.5</v>
      </c>
      <c r="C101" s="309">
        <f t="shared" ref="C101" si="28">IF((+B101/D101)&lt;0,"n.m.",IF(B101&lt;0,(+B101/D101-1)*-1,(+B101/D101-1)))</f>
        <v>0.125</v>
      </c>
      <c r="D101" s="271">
        <f>SUM(D96:D100)</f>
        <v>4</v>
      </c>
      <c r="E101" s="271">
        <f>SUM(E96:E100)</f>
        <v>3.68</v>
      </c>
      <c r="F101" s="309">
        <f t="shared" si="27"/>
        <v>0.71162790697674394</v>
      </c>
      <c r="G101" s="271">
        <f>SUM(G96:G100)</f>
        <v>2.1500000000000004</v>
      </c>
      <c r="H101" s="309">
        <f t="shared" si="22"/>
        <v>-0.59662288930581608</v>
      </c>
      <c r="I101" s="115">
        <f>SUM(I96:I100)</f>
        <v>5.3299999999999992</v>
      </c>
      <c r="J101" s="309">
        <f t="shared" si="24"/>
        <v>-0.31666666666666687</v>
      </c>
      <c r="K101" s="271">
        <f>SUM(K96:K100)</f>
        <v>7.8000000000000007</v>
      </c>
      <c r="L101" s="145">
        <f t="shared" si="23"/>
        <v>0.20930232558139528</v>
      </c>
      <c r="M101" s="271">
        <f>SUM(M96:M100)</f>
        <v>6.4500000000000011</v>
      </c>
    </row>
    <row r="102" spans="1:27" ht="12" customHeight="1">
      <c r="C102" s="120"/>
      <c r="F102" s="120"/>
      <c r="H102" s="120"/>
      <c r="J102" s="120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7" fitToHeight="0" orientation="landscape" r:id="rId1"/>
  <headerFooter alignWithMargins="0">
    <oddHeader>&amp;A</oddHeader>
  </headerFooter>
  <rowBreaks count="2" manualBreakCount="2">
    <brk id="42" max="10" man="1"/>
    <brk id="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Neumueller-Klein</cp:lastModifiedBy>
  <cp:lastPrinted>2020-08-28T07:33:27Z</cp:lastPrinted>
  <dcterms:created xsi:type="dcterms:W3CDTF">2015-02-10T08:20:45Z</dcterms:created>
  <dcterms:modified xsi:type="dcterms:W3CDTF">2020-08-28T07:35:38Z</dcterms:modified>
</cp:coreProperties>
</file>