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" yWindow="96" windowWidth="13908" windowHeight="12780"/>
  </bookViews>
  <sheets>
    <sheet name="Group" sheetId="1" r:id="rId1"/>
    <sheet name="North + West" sheetId="2" r:id="rId2"/>
    <sheet name="South + East" sheetId="4" r:id="rId3"/>
    <sheet name="International + Special Divisio" sheetId="3" r:id="rId4"/>
    <sheet name="Other" sheetId="5" r:id="rId5"/>
  </sheets>
  <definedNames>
    <definedName name="_xlnm.Print_Area" localSheetId="0">Group!$A$1:$M$215</definedName>
    <definedName name="_xlnm.Print_Area" localSheetId="3">'International + Special Divisio'!$A$1:$M$101</definedName>
    <definedName name="_xlnm.Print_Area" localSheetId="1">'North + West'!$A$1:$M$101</definedName>
    <definedName name="_xlnm.Print_Area" localSheetId="4">Other!$A$1:$M$101</definedName>
    <definedName name="_xlnm.Print_Area" localSheetId="2">'South + East'!$A$1:$M$101</definedName>
    <definedName name="_xlnm.Print_Titles" localSheetId="0">Group!$1:$1</definedName>
    <definedName name="_xlnm.Print_Titles" localSheetId="3">'International + Special Divisio'!$1:$1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  <definedName name="Prozentrundung">Group!$N$1</definedName>
  </definedNames>
  <calcPr calcId="145621"/>
</workbook>
</file>

<file path=xl/calcChain.xml><?xml version="1.0" encoding="utf-8"?>
<calcChain xmlns="http://schemas.openxmlformats.org/spreadsheetml/2006/main">
  <c r="M10" i="5" l="1"/>
  <c r="B70" i="1" l="1"/>
  <c r="B9" i="5"/>
  <c r="B8" i="5"/>
  <c r="C107" i="1" l="1"/>
  <c r="B103" i="1"/>
  <c r="B52" i="1"/>
  <c r="B16" i="1"/>
  <c r="F80" i="5" l="1"/>
  <c r="F81" i="5"/>
  <c r="F86" i="5"/>
  <c r="F88" i="5"/>
  <c r="F92" i="5"/>
  <c r="F93" i="5"/>
  <c r="C92" i="5"/>
  <c r="C93" i="5"/>
  <c r="C95" i="5"/>
  <c r="C86" i="5"/>
  <c r="C89" i="4"/>
  <c r="C91" i="4"/>
  <c r="C92" i="4"/>
  <c r="C75" i="2"/>
  <c r="C76" i="2"/>
  <c r="C77" i="2"/>
  <c r="C79" i="2"/>
  <c r="C81" i="2"/>
  <c r="C86" i="2"/>
  <c r="C87" i="2"/>
  <c r="C88" i="2"/>
  <c r="C90" i="2"/>
  <c r="C91" i="2"/>
  <c r="C92" i="2"/>
  <c r="C93" i="2"/>
  <c r="C94" i="2"/>
  <c r="C53" i="5"/>
  <c r="C45" i="2"/>
  <c r="C46" i="2"/>
  <c r="C49" i="2"/>
  <c r="C51" i="2"/>
  <c r="C56" i="2"/>
  <c r="C57" i="2"/>
  <c r="C58" i="2"/>
  <c r="C60" i="2"/>
  <c r="C61" i="2"/>
  <c r="C62" i="2"/>
  <c r="C63" i="2"/>
  <c r="C64" i="2"/>
  <c r="C65" i="2"/>
  <c r="C27" i="5"/>
  <c r="C28" i="5"/>
  <c r="C30" i="5"/>
  <c r="C32" i="5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30" i="4"/>
  <c r="C31" i="4"/>
  <c r="C32" i="4"/>
  <c r="C33" i="4"/>
  <c r="C34" i="4"/>
  <c r="C14" i="2"/>
  <c r="C15" i="2"/>
  <c r="C16" i="2"/>
  <c r="C18" i="2"/>
  <c r="C20" i="2"/>
  <c r="C25" i="2"/>
  <c r="C26" i="2"/>
  <c r="C27" i="2"/>
  <c r="C28" i="2"/>
  <c r="C29" i="2"/>
  <c r="C30" i="2"/>
  <c r="C31" i="2"/>
  <c r="C32" i="2"/>
  <c r="C33" i="2"/>
  <c r="D48" i="1"/>
  <c r="L2" i="1" l="1"/>
  <c r="L3" i="1"/>
  <c r="H4" i="1"/>
  <c r="J4" i="1"/>
  <c r="L4" i="1"/>
  <c r="H5" i="1"/>
  <c r="J5" i="1"/>
  <c r="L5" i="1"/>
  <c r="H6" i="1"/>
  <c r="J6" i="1"/>
  <c r="L6" i="1"/>
  <c r="H7" i="1"/>
  <c r="J7" i="1"/>
  <c r="L7" i="1"/>
  <c r="H8" i="1"/>
  <c r="J8" i="1"/>
  <c r="L8" i="1"/>
  <c r="H9" i="1"/>
  <c r="J9" i="1"/>
  <c r="L9" i="1"/>
  <c r="H10" i="1"/>
  <c r="J10" i="1"/>
  <c r="L10" i="1"/>
  <c r="H11" i="1"/>
  <c r="J11" i="1"/>
  <c r="H12" i="1"/>
  <c r="J12" i="1"/>
  <c r="I13" i="1"/>
  <c r="I15" i="1" s="1"/>
  <c r="M13" i="1"/>
  <c r="H14" i="1"/>
  <c r="J14" i="1"/>
  <c r="L14" i="1"/>
  <c r="I16" i="1"/>
  <c r="I17" i="1" s="1"/>
  <c r="K16" i="1"/>
  <c r="K18" i="1" s="1"/>
  <c r="K119" i="1" s="1"/>
  <c r="M16" i="1"/>
  <c r="M17" i="1" s="1"/>
  <c r="H19" i="1"/>
  <c r="J19" i="1"/>
  <c r="L19" i="1"/>
  <c r="H21" i="1"/>
  <c r="J21" i="1"/>
  <c r="L21" i="1"/>
  <c r="K22" i="1"/>
  <c r="K29" i="1" s="1"/>
  <c r="K24" i="1"/>
  <c r="K26" i="1"/>
  <c r="K27" i="1"/>
  <c r="K28" i="1"/>
  <c r="H31" i="1"/>
  <c r="J31" i="1"/>
  <c r="L31" i="1"/>
  <c r="H33" i="1"/>
  <c r="J33" i="1"/>
  <c r="L33" i="1"/>
  <c r="H35" i="1"/>
  <c r="I38" i="1"/>
  <c r="M46" i="1"/>
  <c r="M38" i="1" s="1"/>
  <c r="I52" i="1"/>
  <c r="I48" i="1" s="1"/>
  <c r="K52" i="1"/>
  <c r="M52" i="1"/>
  <c r="I55" i="1"/>
  <c r="K55" i="1"/>
  <c r="M55" i="1"/>
  <c r="K60" i="1"/>
  <c r="I64" i="1"/>
  <c r="K64" i="1"/>
  <c r="M64" i="1"/>
  <c r="M66" i="1"/>
  <c r="I70" i="1"/>
  <c r="I66" i="1" s="1"/>
  <c r="K70" i="1"/>
  <c r="H73" i="1"/>
  <c r="J73" i="1"/>
  <c r="K79" i="1"/>
  <c r="K86" i="1" s="1"/>
  <c r="H80" i="1"/>
  <c r="J80" i="1"/>
  <c r="L80" i="1"/>
  <c r="H81" i="1"/>
  <c r="J81" i="1"/>
  <c r="L81" i="1"/>
  <c r="H82" i="1"/>
  <c r="J82" i="1"/>
  <c r="L82" i="1"/>
  <c r="H83" i="1"/>
  <c r="J83" i="1"/>
  <c r="L83" i="1"/>
  <c r="H84" i="1"/>
  <c r="J84" i="1"/>
  <c r="H85" i="1"/>
  <c r="J85" i="1"/>
  <c r="L85" i="1"/>
  <c r="H88" i="1"/>
  <c r="J88" i="1"/>
  <c r="L88" i="1"/>
  <c r="H89" i="1"/>
  <c r="J89" i="1"/>
  <c r="H90" i="1"/>
  <c r="J90" i="1"/>
  <c r="L90" i="1"/>
  <c r="H91" i="1"/>
  <c r="J91" i="1"/>
  <c r="L91" i="1"/>
  <c r="H92" i="1"/>
  <c r="J92" i="1"/>
  <c r="H93" i="1"/>
  <c r="J93" i="1"/>
  <c r="L93" i="1"/>
  <c r="H94" i="1"/>
  <c r="J94" i="1"/>
  <c r="H95" i="1"/>
  <c r="J95" i="1"/>
  <c r="H97" i="1"/>
  <c r="J97" i="1"/>
  <c r="L97" i="1"/>
  <c r="H98" i="1"/>
  <c r="J98" i="1"/>
  <c r="L98" i="1"/>
  <c r="H100" i="1"/>
  <c r="J100" i="1"/>
  <c r="L100" i="1"/>
  <c r="H101" i="1"/>
  <c r="J101" i="1"/>
  <c r="L101" i="1"/>
  <c r="I102" i="1"/>
  <c r="K102" i="1"/>
  <c r="M102" i="1"/>
  <c r="H103" i="1"/>
  <c r="J103" i="1"/>
  <c r="L103" i="1"/>
  <c r="H104" i="1"/>
  <c r="J104" i="1"/>
  <c r="M104" i="1"/>
  <c r="H105" i="1"/>
  <c r="J105" i="1"/>
  <c r="L105" i="1"/>
  <c r="H106" i="1"/>
  <c r="J106" i="1"/>
  <c r="L106" i="1"/>
  <c r="H107" i="1"/>
  <c r="J107" i="1"/>
  <c r="L107" i="1"/>
  <c r="J108" i="1"/>
  <c r="L108" i="1"/>
  <c r="H109" i="1"/>
  <c r="J109" i="1"/>
  <c r="L109" i="1"/>
  <c r="I110" i="1"/>
  <c r="I111" i="1" s="1"/>
  <c r="K110" i="1"/>
  <c r="I112" i="1"/>
  <c r="H113" i="1"/>
  <c r="J113" i="1"/>
  <c r="L113" i="1"/>
  <c r="H114" i="1"/>
  <c r="J114" i="1"/>
  <c r="L114" i="1"/>
  <c r="H116" i="1"/>
  <c r="J116" i="1"/>
  <c r="L116" i="1"/>
  <c r="H117" i="1"/>
  <c r="J117" i="1"/>
  <c r="L117" i="1"/>
  <c r="H118" i="1"/>
  <c r="J118" i="1"/>
  <c r="L118" i="1"/>
  <c r="I122" i="1"/>
  <c r="K122" i="1"/>
  <c r="M122" i="1"/>
  <c r="H125" i="1"/>
  <c r="J125" i="1"/>
  <c r="H126" i="1"/>
  <c r="J126" i="1"/>
  <c r="H127" i="1"/>
  <c r="J127" i="1"/>
  <c r="H128" i="1"/>
  <c r="J128" i="1"/>
  <c r="H129" i="1"/>
  <c r="J129" i="1"/>
  <c r="H130" i="1"/>
  <c r="J130" i="1"/>
  <c r="H131" i="1"/>
  <c r="J131" i="1"/>
  <c r="H132" i="1"/>
  <c r="J132" i="1"/>
  <c r="H133" i="1"/>
  <c r="J133" i="1"/>
  <c r="H134" i="1"/>
  <c r="J134" i="1"/>
  <c r="H135" i="1"/>
  <c r="J135" i="1"/>
  <c r="H136" i="1"/>
  <c r="J136" i="1"/>
  <c r="H137" i="1"/>
  <c r="J137" i="1"/>
  <c r="H138" i="1"/>
  <c r="J138" i="1"/>
  <c r="H139" i="1"/>
  <c r="J139" i="1"/>
  <c r="H140" i="1"/>
  <c r="J140" i="1"/>
  <c r="H141" i="1"/>
  <c r="J141" i="1"/>
  <c r="H142" i="1"/>
  <c r="J142" i="1"/>
  <c r="H143" i="1"/>
  <c r="J143" i="1"/>
  <c r="H144" i="1"/>
  <c r="J144" i="1"/>
  <c r="H145" i="1"/>
  <c r="J145" i="1"/>
  <c r="H146" i="1"/>
  <c r="J146" i="1"/>
  <c r="I147" i="1"/>
  <c r="K147" i="1"/>
  <c r="I148" i="1"/>
  <c r="K148" i="1"/>
  <c r="I149" i="1"/>
  <c r="K149" i="1"/>
  <c r="J149" i="1" s="1"/>
  <c r="I150" i="1"/>
  <c r="K150" i="1"/>
  <c r="I151" i="1"/>
  <c r="K151" i="1"/>
  <c r="H154" i="1"/>
  <c r="J154" i="1"/>
  <c r="L154" i="1"/>
  <c r="H155" i="1"/>
  <c r="J155" i="1"/>
  <c r="L155" i="1"/>
  <c r="H158" i="1"/>
  <c r="J158" i="1"/>
  <c r="H159" i="1"/>
  <c r="J159" i="1"/>
  <c r="H160" i="1"/>
  <c r="J160" i="1"/>
  <c r="H161" i="1"/>
  <c r="J161" i="1"/>
  <c r="H162" i="1"/>
  <c r="J162" i="1"/>
  <c r="H163" i="1"/>
  <c r="J163" i="1"/>
  <c r="H164" i="1"/>
  <c r="J164" i="1"/>
  <c r="H165" i="1"/>
  <c r="J165" i="1"/>
  <c r="H166" i="1"/>
  <c r="J166" i="1"/>
  <c r="H167" i="1"/>
  <c r="J167" i="1"/>
  <c r="H168" i="1"/>
  <c r="J168" i="1"/>
  <c r="H169" i="1"/>
  <c r="J169" i="1"/>
  <c r="H170" i="1"/>
  <c r="J170" i="1"/>
  <c r="H171" i="1"/>
  <c r="J171" i="1"/>
  <c r="H172" i="1"/>
  <c r="J172" i="1"/>
  <c r="H173" i="1"/>
  <c r="J173" i="1"/>
  <c r="H174" i="1"/>
  <c r="J174" i="1"/>
  <c r="H175" i="1"/>
  <c r="J175" i="1"/>
  <c r="H176" i="1"/>
  <c r="J176" i="1"/>
  <c r="H177" i="1"/>
  <c r="J177" i="1"/>
  <c r="H178" i="1"/>
  <c r="J178" i="1"/>
  <c r="H179" i="1"/>
  <c r="J179" i="1"/>
  <c r="I180" i="1"/>
  <c r="K180" i="1"/>
  <c r="I181" i="1"/>
  <c r="K181" i="1"/>
  <c r="I182" i="1"/>
  <c r="K182" i="1"/>
  <c r="I183" i="1"/>
  <c r="K183" i="1"/>
  <c r="I184" i="1"/>
  <c r="K184" i="1"/>
  <c r="H188" i="1"/>
  <c r="J188" i="1"/>
  <c r="H189" i="1"/>
  <c r="J189" i="1"/>
  <c r="H190" i="1"/>
  <c r="J190" i="1"/>
  <c r="H191" i="1"/>
  <c r="J191" i="1"/>
  <c r="H192" i="1"/>
  <c r="J192" i="1"/>
  <c r="H193" i="1"/>
  <c r="J193" i="1"/>
  <c r="H194" i="1"/>
  <c r="J194" i="1"/>
  <c r="H195" i="1"/>
  <c r="J195" i="1"/>
  <c r="H196" i="1"/>
  <c r="J196" i="1"/>
  <c r="H197" i="1"/>
  <c r="J197" i="1"/>
  <c r="H198" i="1"/>
  <c r="J198" i="1"/>
  <c r="H199" i="1"/>
  <c r="J199" i="1"/>
  <c r="H200" i="1"/>
  <c r="J200" i="1"/>
  <c r="H201" i="1"/>
  <c r="J201" i="1"/>
  <c r="H202" i="1"/>
  <c r="J202" i="1"/>
  <c r="H203" i="1"/>
  <c r="J203" i="1"/>
  <c r="H204" i="1"/>
  <c r="J204" i="1"/>
  <c r="H205" i="1"/>
  <c r="J205" i="1"/>
  <c r="H206" i="1"/>
  <c r="J206" i="1"/>
  <c r="H207" i="1"/>
  <c r="J207" i="1"/>
  <c r="H208" i="1"/>
  <c r="J208" i="1"/>
  <c r="H209" i="1"/>
  <c r="J209" i="1"/>
  <c r="I210" i="1"/>
  <c r="K210" i="1"/>
  <c r="I211" i="1"/>
  <c r="K211" i="1"/>
  <c r="I212" i="1"/>
  <c r="K212" i="1"/>
  <c r="I213" i="1"/>
  <c r="K213" i="1"/>
  <c r="I214" i="1"/>
  <c r="K214" i="1"/>
  <c r="G13" i="1"/>
  <c r="G24" i="1" s="1"/>
  <c r="G16" i="1"/>
  <c r="G17" i="1" s="1"/>
  <c r="H17" i="1" s="1"/>
  <c r="G38" i="1"/>
  <c r="G48" i="1"/>
  <c r="G55" i="1"/>
  <c r="G60" i="1"/>
  <c r="G66" i="1"/>
  <c r="G102" i="1"/>
  <c r="G110" i="1"/>
  <c r="G122" i="1"/>
  <c r="G147" i="1"/>
  <c r="G148" i="1"/>
  <c r="G149" i="1"/>
  <c r="H149" i="1" s="1"/>
  <c r="G150" i="1"/>
  <c r="G151" i="1"/>
  <c r="G180" i="1"/>
  <c r="G181" i="1"/>
  <c r="G182" i="1"/>
  <c r="H182" i="1" s="1"/>
  <c r="G183" i="1"/>
  <c r="G184" i="1"/>
  <c r="G210" i="1"/>
  <c r="G211" i="1"/>
  <c r="H211" i="1" s="1"/>
  <c r="G212" i="1"/>
  <c r="H212" i="1" s="1"/>
  <c r="G213" i="1"/>
  <c r="G214" i="1"/>
  <c r="F75" i="5"/>
  <c r="F76" i="5"/>
  <c r="F77" i="5"/>
  <c r="F7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44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30" i="5"/>
  <c r="F32" i="5"/>
  <c r="F13" i="5"/>
  <c r="F9" i="5"/>
  <c r="F5" i="5"/>
  <c r="F6" i="5"/>
  <c r="F7" i="5"/>
  <c r="F75" i="3"/>
  <c r="F76" i="3"/>
  <c r="F77" i="3"/>
  <c r="F78" i="3"/>
  <c r="F79" i="3"/>
  <c r="F80" i="3"/>
  <c r="F81" i="3"/>
  <c r="F82" i="3"/>
  <c r="F84" i="3"/>
  <c r="F86" i="3"/>
  <c r="F87" i="3"/>
  <c r="F88" i="3"/>
  <c r="F89" i="3"/>
  <c r="F90" i="3"/>
  <c r="F91" i="3"/>
  <c r="F92" i="3"/>
  <c r="F93" i="3"/>
  <c r="F94" i="3"/>
  <c r="F95" i="3"/>
  <c r="F7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44" i="3"/>
  <c r="H44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13" i="3"/>
  <c r="F5" i="3"/>
  <c r="F6" i="3"/>
  <c r="F7" i="3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9" i="4"/>
  <c r="F91" i="4"/>
  <c r="F92" i="4"/>
  <c r="F93" i="4"/>
  <c r="F94" i="4"/>
  <c r="F95" i="4"/>
  <c r="F7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44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13" i="4"/>
  <c r="F7" i="4"/>
  <c r="F6" i="4"/>
  <c r="F5" i="4"/>
  <c r="F75" i="2"/>
  <c r="F76" i="2"/>
  <c r="F77" i="2"/>
  <c r="F79" i="2"/>
  <c r="F81" i="2"/>
  <c r="F86" i="2"/>
  <c r="F87" i="2"/>
  <c r="F88" i="2"/>
  <c r="F90" i="2"/>
  <c r="F91" i="2"/>
  <c r="F92" i="2"/>
  <c r="F93" i="2"/>
  <c r="F94" i="2"/>
  <c r="F74" i="2"/>
  <c r="F45" i="2"/>
  <c r="F46" i="2"/>
  <c r="F47" i="2"/>
  <c r="F48" i="2"/>
  <c r="F49" i="2"/>
  <c r="F50" i="2"/>
  <c r="F51" i="2"/>
  <c r="F52" i="2"/>
  <c r="F56" i="2"/>
  <c r="F57" i="2"/>
  <c r="F58" i="2"/>
  <c r="F59" i="2"/>
  <c r="F60" i="2"/>
  <c r="F61" i="2"/>
  <c r="F62" i="2"/>
  <c r="F63" i="2"/>
  <c r="F64" i="2"/>
  <c r="F65" i="2"/>
  <c r="F44" i="2"/>
  <c r="F14" i="2"/>
  <c r="F15" i="2"/>
  <c r="F16" i="2"/>
  <c r="F17" i="2"/>
  <c r="F18" i="2"/>
  <c r="F20" i="2"/>
  <c r="F25" i="2"/>
  <c r="F26" i="2"/>
  <c r="F27" i="2"/>
  <c r="F28" i="2"/>
  <c r="F29" i="2"/>
  <c r="F30" i="2"/>
  <c r="F31" i="2"/>
  <c r="F32" i="2"/>
  <c r="F33" i="2"/>
  <c r="F34" i="2"/>
  <c r="F13" i="2"/>
  <c r="F5" i="2"/>
  <c r="F6" i="2"/>
  <c r="F7" i="2"/>
  <c r="E100" i="5"/>
  <c r="E99" i="5"/>
  <c r="E98" i="5"/>
  <c r="E97" i="5"/>
  <c r="E96" i="5"/>
  <c r="E66" i="5"/>
  <c r="E70" i="5"/>
  <c r="E69" i="5"/>
  <c r="E68" i="5"/>
  <c r="E67" i="5"/>
  <c r="E39" i="5"/>
  <c r="E38" i="5"/>
  <c r="E37" i="5"/>
  <c r="E36" i="5"/>
  <c r="E35" i="5"/>
  <c r="E8" i="5"/>
  <c r="E100" i="3"/>
  <c r="E99" i="3"/>
  <c r="E98" i="3"/>
  <c r="E97" i="3"/>
  <c r="E96" i="3"/>
  <c r="E66" i="3"/>
  <c r="E70" i="3"/>
  <c r="E69" i="3"/>
  <c r="E68" i="3"/>
  <c r="E67" i="3"/>
  <c r="E39" i="3"/>
  <c r="E38" i="3"/>
  <c r="E37" i="3"/>
  <c r="E36" i="3"/>
  <c r="E35" i="3"/>
  <c r="E8" i="3"/>
  <c r="E100" i="4"/>
  <c r="E99" i="4"/>
  <c r="E98" i="4"/>
  <c r="E97" i="4"/>
  <c r="E96" i="4"/>
  <c r="E70" i="4"/>
  <c r="E69" i="4"/>
  <c r="E68" i="4"/>
  <c r="E67" i="4"/>
  <c r="E66" i="4"/>
  <c r="E71" i="4" s="1"/>
  <c r="E3" i="4" s="1"/>
  <c r="E39" i="4"/>
  <c r="E38" i="4"/>
  <c r="E37" i="4"/>
  <c r="E36" i="4"/>
  <c r="E35" i="4"/>
  <c r="G35" i="4"/>
  <c r="F35" i="4" s="1"/>
  <c r="E8" i="4"/>
  <c r="E100" i="2"/>
  <c r="E99" i="2"/>
  <c r="E98" i="2"/>
  <c r="E97" i="2"/>
  <c r="E96" i="2"/>
  <c r="E101" i="2" s="1"/>
  <c r="E4" i="2" s="1"/>
  <c r="E70" i="2"/>
  <c r="E69" i="2"/>
  <c r="E68" i="2"/>
  <c r="E67" i="2"/>
  <c r="E66" i="2"/>
  <c r="E39" i="2"/>
  <c r="E38" i="2"/>
  <c r="E37" i="2"/>
  <c r="E36" i="2"/>
  <c r="E35" i="2"/>
  <c r="E8" i="2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188" i="1"/>
  <c r="E214" i="1"/>
  <c r="F214" i="1" s="1"/>
  <c r="E213" i="1"/>
  <c r="E212" i="1"/>
  <c r="E211" i="1"/>
  <c r="E210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58" i="1"/>
  <c r="E184" i="1"/>
  <c r="F184" i="1" s="1"/>
  <c r="E183" i="1"/>
  <c r="E182" i="1"/>
  <c r="E181" i="1"/>
  <c r="E180" i="1"/>
  <c r="F180" i="1" s="1"/>
  <c r="F154" i="1"/>
  <c r="F15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25" i="1"/>
  <c r="E151" i="1"/>
  <c r="E150" i="1"/>
  <c r="E149" i="1"/>
  <c r="E148" i="1"/>
  <c r="F148" i="1" s="1"/>
  <c r="E147" i="1"/>
  <c r="F80" i="1"/>
  <c r="F81" i="1"/>
  <c r="F82" i="1"/>
  <c r="F83" i="1"/>
  <c r="F84" i="1"/>
  <c r="F85" i="1"/>
  <c r="F88" i="1"/>
  <c r="F89" i="1"/>
  <c r="F90" i="1"/>
  <c r="F91" i="1"/>
  <c r="F92" i="1"/>
  <c r="F93" i="1"/>
  <c r="F94" i="1"/>
  <c r="F95" i="1"/>
  <c r="F97" i="1"/>
  <c r="F98" i="1"/>
  <c r="F100" i="1"/>
  <c r="F101" i="1"/>
  <c r="F103" i="1"/>
  <c r="F104" i="1"/>
  <c r="F105" i="1"/>
  <c r="F106" i="1"/>
  <c r="F107" i="1"/>
  <c r="F109" i="1"/>
  <c r="F113" i="1"/>
  <c r="F114" i="1"/>
  <c r="F116" i="1"/>
  <c r="F117" i="1"/>
  <c r="F118" i="1"/>
  <c r="E122" i="1"/>
  <c r="E110" i="1"/>
  <c r="E102" i="1"/>
  <c r="F102" i="1" s="1"/>
  <c r="F73" i="1"/>
  <c r="E66" i="1"/>
  <c r="E60" i="1"/>
  <c r="E55" i="1"/>
  <c r="E48" i="1"/>
  <c r="E38" i="1"/>
  <c r="D17" i="1"/>
  <c r="D13" i="1"/>
  <c r="F31" i="1"/>
  <c r="F33" i="1"/>
  <c r="F4" i="1"/>
  <c r="F5" i="1"/>
  <c r="F6" i="1"/>
  <c r="F7" i="1"/>
  <c r="F8" i="1"/>
  <c r="F9" i="1"/>
  <c r="F10" i="1"/>
  <c r="F11" i="1"/>
  <c r="F12" i="1"/>
  <c r="F14" i="1"/>
  <c r="F19" i="1"/>
  <c r="F21" i="1"/>
  <c r="E16" i="1"/>
  <c r="E17" i="1" s="1"/>
  <c r="E13" i="1"/>
  <c r="E15" i="1" s="1"/>
  <c r="I215" i="1" l="1"/>
  <c r="I3" i="1" s="1"/>
  <c r="J3" i="1" s="1"/>
  <c r="J148" i="1"/>
  <c r="H214" i="1"/>
  <c r="H181" i="1"/>
  <c r="H213" i="1"/>
  <c r="J151" i="1"/>
  <c r="K152" i="1"/>
  <c r="L152" i="1" s="1"/>
  <c r="J16" i="1"/>
  <c r="K185" i="1"/>
  <c r="L185" i="1" s="1"/>
  <c r="J150" i="1"/>
  <c r="K17" i="1"/>
  <c r="L17" i="1" s="1"/>
  <c r="F122" i="1"/>
  <c r="H210" i="1"/>
  <c r="J181" i="1"/>
  <c r="J147" i="1"/>
  <c r="I24" i="1"/>
  <c r="I25" i="1" s="1"/>
  <c r="H183" i="1"/>
  <c r="J13" i="1"/>
  <c r="E101" i="5"/>
  <c r="E71" i="5"/>
  <c r="E40" i="5"/>
  <c r="E101" i="3"/>
  <c r="E4" i="3" s="1"/>
  <c r="E71" i="3"/>
  <c r="E40" i="3"/>
  <c r="E101" i="4"/>
  <c r="E40" i="4"/>
  <c r="E40" i="2"/>
  <c r="E71" i="2"/>
  <c r="K96" i="1"/>
  <c r="J96" i="1" s="1"/>
  <c r="J86" i="1"/>
  <c r="I115" i="1"/>
  <c r="H150" i="1"/>
  <c r="J211" i="1"/>
  <c r="J184" i="1"/>
  <c r="J182" i="1"/>
  <c r="L104" i="1"/>
  <c r="L102" i="1"/>
  <c r="M24" i="1"/>
  <c r="J17" i="1"/>
  <c r="L13" i="1"/>
  <c r="I76" i="1"/>
  <c r="L24" i="1"/>
  <c r="M15" i="1"/>
  <c r="M26" i="1" s="1"/>
  <c r="M110" i="1"/>
  <c r="L110" i="1" s="1"/>
  <c r="F211" i="1"/>
  <c r="H148" i="1"/>
  <c r="H102" i="1"/>
  <c r="G76" i="1"/>
  <c r="J212" i="1"/>
  <c r="K215" i="1"/>
  <c r="L215" i="1" s="1"/>
  <c r="J183" i="1"/>
  <c r="J180" i="1"/>
  <c r="J122" i="1"/>
  <c r="L16" i="1"/>
  <c r="D15" i="1"/>
  <c r="D26" i="1" s="1"/>
  <c r="D27" i="1" s="1"/>
  <c r="D24" i="1"/>
  <c r="D25" i="1" s="1"/>
  <c r="H151" i="1"/>
  <c r="J213" i="1"/>
  <c r="I152" i="1"/>
  <c r="J152" i="1" s="1"/>
  <c r="H122" i="1"/>
  <c r="K66" i="1"/>
  <c r="K71" i="1" s="1"/>
  <c r="L70" i="1" s="1"/>
  <c r="F183" i="1"/>
  <c r="J214" i="1"/>
  <c r="J210" i="1"/>
  <c r="I185" i="1"/>
  <c r="H184" i="1"/>
  <c r="H180" i="1"/>
  <c r="L122" i="1"/>
  <c r="J102" i="1"/>
  <c r="M48" i="1"/>
  <c r="M18" i="1"/>
  <c r="M60" i="1"/>
  <c r="I26" i="1"/>
  <c r="J15" i="1"/>
  <c r="I18" i="1"/>
  <c r="G152" i="1"/>
  <c r="H147" i="1"/>
  <c r="H110" i="1"/>
  <c r="J110" i="1"/>
  <c r="I60" i="1"/>
  <c r="K34" i="1"/>
  <c r="K25" i="1"/>
  <c r="H16" i="1"/>
  <c r="H13" i="1"/>
  <c r="F150" i="1"/>
  <c r="G185" i="1"/>
  <c r="G71" i="1"/>
  <c r="H38" i="1" s="1"/>
  <c r="F149" i="1"/>
  <c r="F212" i="1"/>
  <c r="F16" i="1"/>
  <c r="F147" i="1"/>
  <c r="F151" i="1"/>
  <c r="F210" i="1"/>
  <c r="E24" i="1"/>
  <c r="F24" i="1" s="1"/>
  <c r="G25" i="1"/>
  <c r="F17" i="1"/>
  <c r="G15" i="1"/>
  <c r="F213" i="1"/>
  <c r="F13" i="1"/>
  <c r="F182" i="1"/>
  <c r="G215" i="1"/>
  <c r="H215" i="1" s="1"/>
  <c r="E18" i="1"/>
  <c r="E152" i="1"/>
  <c r="E185" i="1"/>
  <c r="E215" i="1"/>
  <c r="E76" i="1"/>
  <c r="F110" i="1"/>
  <c r="F181" i="1"/>
  <c r="E71" i="1"/>
  <c r="F60" i="1" s="1"/>
  <c r="E26" i="1"/>
  <c r="D18" i="1" l="1"/>
  <c r="D20" i="1" s="1"/>
  <c r="D79" i="1" s="1"/>
  <c r="D86" i="1" s="1"/>
  <c r="J115" i="1"/>
  <c r="L15" i="1"/>
  <c r="J24" i="1"/>
  <c r="H24" i="1"/>
  <c r="E4" i="5"/>
  <c r="E3" i="5"/>
  <c r="E3" i="3"/>
  <c r="E4" i="4"/>
  <c r="E41" i="4"/>
  <c r="E3" i="2"/>
  <c r="M25" i="1"/>
  <c r="J215" i="1"/>
  <c r="K111" i="1"/>
  <c r="J111" i="1" s="1"/>
  <c r="D22" i="1"/>
  <c r="D29" i="1" s="1"/>
  <c r="I20" i="1"/>
  <c r="I119" i="1"/>
  <c r="J18" i="1"/>
  <c r="M20" i="1"/>
  <c r="M119" i="1"/>
  <c r="H53" i="1"/>
  <c r="H54" i="1"/>
  <c r="H67" i="1"/>
  <c r="H68" i="1"/>
  <c r="H69" i="1"/>
  <c r="H70" i="1"/>
  <c r="H49" i="1"/>
  <c r="H50" i="1"/>
  <c r="H51" i="1"/>
  <c r="H52" i="1"/>
  <c r="H65" i="1"/>
  <c r="H57" i="1"/>
  <c r="H59" i="1"/>
  <c r="H39" i="1"/>
  <c r="H41" i="1"/>
  <c r="H45" i="1"/>
  <c r="H62" i="1"/>
  <c r="H71" i="1"/>
  <c r="H40" i="1"/>
  <c r="H42" i="1"/>
  <c r="H44" i="1"/>
  <c r="H46" i="1"/>
  <c r="H47" i="1"/>
  <c r="H61" i="1"/>
  <c r="H63" i="1"/>
  <c r="H56" i="1"/>
  <c r="H58" i="1"/>
  <c r="H60" i="1"/>
  <c r="H43" i="1"/>
  <c r="H48" i="1"/>
  <c r="H64" i="1"/>
  <c r="I27" i="1"/>
  <c r="J26" i="1"/>
  <c r="M27" i="1"/>
  <c r="L26" i="1"/>
  <c r="F15" i="1"/>
  <c r="H15" i="1"/>
  <c r="G2" i="1"/>
  <c r="H185" i="1"/>
  <c r="H152" i="1"/>
  <c r="M71" i="1"/>
  <c r="L18" i="1"/>
  <c r="K76" i="1"/>
  <c r="L66" i="1"/>
  <c r="I71" i="1"/>
  <c r="L39" i="1"/>
  <c r="L40" i="1"/>
  <c r="L41" i="1"/>
  <c r="L42" i="1"/>
  <c r="L43" i="1"/>
  <c r="L44" i="1"/>
  <c r="L45" i="1"/>
  <c r="L46" i="1"/>
  <c r="L61" i="1"/>
  <c r="L62" i="1"/>
  <c r="L63" i="1"/>
  <c r="L47" i="1"/>
  <c r="L56" i="1"/>
  <c r="L57" i="1"/>
  <c r="L58" i="1"/>
  <c r="L59" i="1"/>
  <c r="L48" i="1"/>
  <c r="L68" i="1"/>
  <c r="L49" i="1"/>
  <c r="L38" i="1"/>
  <c r="L50" i="1"/>
  <c r="L53" i="1"/>
  <c r="L65" i="1"/>
  <c r="L71" i="1"/>
  <c r="L64" i="1"/>
  <c r="L67" i="1"/>
  <c r="L69" i="1"/>
  <c r="L51" i="1"/>
  <c r="L54" i="1"/>
  <c r="M76" i="1"/>
  <c r="L60" i="1"/>
  <c r="F48" i="1"/>
  <c r="H55" i="1"/>
  <c r="L55" i="1"/>
  <c r="J185" i="1"/>
  <c r="I2" i="1"/>
  <c r="J2" i="1" s="1"/>
  <c r="H66" i="1"/>
  <c r="L52" i="1"/>
  <c r="G18" i="1"/>
  <c r="G26" i="1"/>
  <c r="E25" i="1"/>
  <c r="G3" i="1"/>
  <c r="H3" i="1" s="1"/>
  <c r="E41" i="2"/>
  <c r="F152" i="1"/>
  <c r="E20" i="1"/>
  <c r="E119" i="1"/>
  <c r="E27" i="1"/>
  <c r="E41" i="5"/>
  <c r="E3" i="1"/>
  <c r="F215" i="1"/>
  <c r="F40" i="1"/>
  <c r="F44" i="1"/>
  <c r="F52" i="1"/>
  <c r="F56" i="1"/>
  <c r="F64" i="1"/>
  <c r="F68" i="1"/>
  <c r="F41" i="1"/>
  <c r="F45" i="1"/>
  <c r="F49" i="1"/>
  <c r="F53" i="1"/>
  <c r="F57" i="1"/>
  <c r="F61" i="1"/>
  <c r="F65" i="1"/>
  <c r="F69" i="1"/>
  <c r="F38" i="1"/>
  <c r="F42" i="1"/>
  <c r="F46" i="1"/>
  <c r="F50" i="1"/>
  <c r="F54" i="1"/>
  <c r="F58" i="1"/>
  <c r="F62" i="1"/>
  <c r="F66" i="1"/>
  <c r="F70" i="1"/>
  <c r="F39" i="1"/>
  <c r="F43" i="1"/>
  <c r="F47" i="1"/>
  <c r="F51" i="1"/>
  <c r="F59" i="1"/>
  <c r="F63" i="1"/>
  <c r="F67" i="1"/>
  <c r="F71" i="1"/>
  <c r="E41" i="3"/>
  <c r="E2" i="1"/>
  <c r="F185" i="1"/>
  <c r="F55" i="1"/>
  <c r="D28" i="1" l="1"/>
  <c r="F26" i="1"/>
  <c r="H26" i="1"/>
  <c r="L20" i="1"/>
  <c r="M79" i="1"/>
  <c r="M22" i="1"/>
  <c r="F18" i="1"/>
  <c r="H18" i="1"/>
  <c r="J47" i="1"/>
  <c r="J56" i="1"/>
  <c r="J57" i="1"/>
  <c r="J58" i="1"/>
  <c r="J59" i="1"/>
  <c r="J71" i="1"/>
  <c r="J53" i="1"/>
  <c r="J54" i="1"/>
  <c r="J67" i="1"/>
  <c r="J68" i="1"/>
  <c r="J69" i="1"/>
  <c r="J38" i="1"/>
  <c r="J39" i="1"/>
  <c r="J41" i="1"/>
  <c r="J43" i="1"/>
  <c r="J45" i="1"/>
  <c r="J50" i="1"/>
  <c r="J62" i="1"/>
  <c r="J65" i="1"/>
  <c r="J70" i="1"/>
  <c r="J40" i="1"/>
  <c r="J42" i="1"/>
  <c r="J44" i="1"/>
  <c r="J46" i="1"/>
  <c r="J49" i="1"/>
  <c r="J51" i="1"/>
  <c r="J55" i="1"/>
  <c r="J61" i="1"/>
  <c r="J63" i="1"/>
  <c r="J66" i="1"/>
  <c r="J52" i="1"/>
  <c r="J64" i="1"/>
  <c r="J48" i="1"/>
  <c r="J60" i="1"/>
  <c r="H2" i="1"/>
  <c r="J20" i="1"/>
  <c r="I79" i="1"/>
  <c r="J79" i="1" s="1"/>
  <c r="I22" i="1"/>
  <c r="G119" i="1"/>
  <c r="G20" i="1"/>
  <c r="H20" i="1" s="1"/>
  <c r="G112" i="1"/>
  <c r="H112" i="1" s="1"/>
  <c r="G27" i="1"/>
  <c r="F3" i="1"/>
  <c r="E10" i="3"/>
  <c r="E10" i="2"/>
  <c r="E10" i="4"/>
  <c r="F2" i="1"/>
  <c r="E9" i="2"/>
  <c r="E9" i="4"/>
  <c r="E9" i="3"/>
  <c r="E22" i="1"/>
  <c r="E79" i="1"/>
  <c r="F20" i="1"/>
  <c r="B122" i="1"/>
  <c r="J22" i="1" l="1"/>
  <c r="I29" i="1"/>
  <c r="I28" i="1"/>
  <c r="L22" i="1"/>
  <c r="M28" i="1"/>
  <c r="M29" i="1"/>
  <c r="L79" i="1"/>
  <c r="M86" i="1"/>
  <c r="G79" i="1"/>
  <c r="G22" i="1"/>
  <c r="H22" i="1" s="1"/>
  <c r="E86" i="1"/>
  <c r="E28" i="1"/>
  <c r="E29" i="1"/>
  <c r="B66" i="1"/>
  <c r="B71" i="1" l="1"/>
  <c r="M96" i="1"/>
  <c r="L86" i="1"/>
  <c r="M34" i="1"/>
  <c r="L28" i="1"/>
  <c r="F79" i="1"/>
  <c r="H79" i="1"/>
  <c r="I34" i="1"/>
  <c r="J28" i="1"/>
  <c r="G28" i="1"/>
  <c r="G29" i="1"/>
  <c r="F22" i="1"/>
  <c r="G86" i="1"/>
  <c r="E96" i="1"/>
  <c r="E34" i="1"/>
  <c r="C9" i="5"/>
  <c r="B8" i="3"/>
  <c r="F28" i="1" l="1"/>
  <c r="H28" i="1"/>
  <c r="F86" i="1"/>
  <c r="H86" i="1"/>
  <c r="M111" i="1"/>
  <c r="L96" i="1"/>
  <c r="G34" i="1"/>
  <c r="H34" i="1" s="1"/>
  <c r="G96" i="1"/>
  <c r="E111" i="1"/>
  <c r="C5" i="5"/>
  <c r="C6" i="5"/>
  <c r="C7" i="5"/>
  <c r="C5" i="3"/>
  <c r="C6" i="3"/>
  <c r="C7" i="3"/>
  <c r="F96" i="1" l="1"/>
  <c r="H96" i="1"/>
  <c r="M115" i="1"/>
  <c r="L111" i="1"/>
  <c r="G111" i="1"/>
  <c r="H111" i="1" s="1"/>
  <c r="F34" i="1"/>
  <c r="C7" i="4"/>
  <c r="C6" i="4"/>
  <c r="C5" i="4"/>
  <c r="B8" i="4"/>
  <c r="B8" i="2"/>
  <c r="F111" i="1" l="1"/>
  <c r="L115" i="1"/>
  <c r="K112" i="1"/>
  <c r="G115" i="1"/>
  <c r="H115" i="1" s="1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13" i="5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13" i="3"/>
  <c r="C13" i="4"/>
  <c r="C45" i="5"/>
  <c r="C46" i="5"/>
  <c r="C47" i="5"/>
  <c r="C48" i="5"/>
  <c r="C49" i="5"/>
  <c r="C50" i="5"/>
  <c r="C51" i="5"/>
  <c r="C52" i="5"/>
  <c r="C54" i="5"/>
  <c r="C55" i="5"/>
  <c r="C56" i="5"/>
  <c r="C57" i="5"/>
  <c r="C58" i="5"/>
  <c r="C59" i="5"/>
  <c r="C60" i="5"/>
  <c r="C61" i="5"/>
  <c r="C62" i="5"/>
  <c r="C63" i="5"/>
  <c r="C64" i="5"/>
  <c r="C65" i="5"/>
  <c r="C44" i="5"/>
  <c r="C45" i="3"/>
  <c r="C46" i="3"/>
  <c r="C47" i="3"/>
  <c r="C48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44" i="3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61" i="4"/>
  <c r="C62" i="4"/>
  <c r="C63" i="4"/>
  <c r="C64" i="4"/>
  <c r="C65" i="4"/>
  <c r="C44" i="4"/>
  <c r="L112" i="1" l="1"/>
  <c r="J112" i="1"/>
  <c r="E112" i="1"/>
  <c r="D112" i="1" s="1"/>
  <c r="C75" i="5"/>
  <c r="C76" i="5"/>
  <c r="C77" i="5"/>
  <c r="C80" i="5"/>
  <c r="C81" i="5"/>
  <c r="C74" i="5"/>
  <c r="C84" i="3"/>
  <c r="C75" i="3"/>
  <c r="C76" i="3"/>
  <c r="C77" i="3"/>
  <c r="C78" i="3"/>
  <c r="C79" i="3"/>
  <c r="C80" i="3"/>
  <c r="C81" i="3"/>
  <c r="C82" i="3"/>
  <c r="C83" i="3"/>
  <c r="C86" i="3"/>
  <c r="C87" i="3"/>
  <c r="C88" i="3"/>
  <c r="C89" i="3"/>
  <c r="C90" i="3"/>
  <c r="C91" i="3"/>
  <c r="C92" i="3"/>
  <c r="C93" i="3"/>
  <c r="C94" i="3"/>
  <c r="C95" i="3"/>
  <c r="C74" i="3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93" i="4"/>
  <c r="C94" i="4"/>
  <c r="C95" i="4"/>
  <c r="C74" i="4"/>
  <c r="F112" i="1" l="1"/>
  <c r="E115" i="1"/>
  <c r="D100" i="5"/>
  <c r="D99" i="5"/>
  <c r="D98" i="5"/>
  <c r="D97" i="5"/>
  <c r="D96" i="5"/>
  <c r="D70" i="5"/>
  <c r="D69" i="5"/>
  <c r="D68" i="5"/>
  <c r="D67" i="5"/>
  <c r="D66" i="5"/>
  <c r="D39" i="5"/>
  <c r="D38" i="5"/>
  <c r="D37" i="5"/>
  <c r="D36" i="5"/>
  <c r="D35" i="5"/>
  <c r="D8" i="5"/>
  <c r="D100" i="3"/>
  <c r="D99" i="3"/>
  <c r="D98" i="3"/>
  <c r="D97" i="3"/>
  <c r="D96" i="3"/>
  <c r="D70" i="3"/>
  <c r="D69" i="3"/>
  <c r="D68" i="3"/>
  <c r="D67" i="3"/>
  <c r="D66" i="3"/>
  <c r="D39" i="3"/>
  <c r="D38" i="3"/>
  <c r="D37" i="3"/>
  <c r="D36" i="3"/>
  <c r="D35" i="3"/>
  <c r="D8" i="3"/>
  <c r="D100" i="4"/>
  <c r="D99" i="4"/>
  <c r="D98" i="4"/>
  <c r="D97" i="4"/>
  <c r="D96" i="4"/>
  <c r="D70" i="4"/>
  <c r="D69" i="4"/>
  <c r="D68" i="4"/>
  <c r="D67" i="4"/>
  <c r="D66" i="4"/>
  <c r="D39" i="4"/>
  <c r="D38" i="4"/>
  <c r="D37" i="4"/>
  <c r="D36" i="4"/>
  <c r="D35" i="4"/>
  <c r="D8" i="4"/>
  <c r="C74" i="2"/>
  <c r="C44" i="2"/>
  <c r="C13" i="2"/>
  <c r="C7" i="2"/>
  <c r="C6" i="2"/>
  <c r="C5" i="2"/>
  <c r="D100" i="2"/>
  <c r="D99" i="2"/>
  <c r="D98" i="2"/>
  <c r="D97" i="2"/>
  <c r="D96" i="2"/>
  <c r="D70" i="2"/>
  <c r="D69" i="2"/>
  <c r="D68" i="2"/>
  <c r="D67" i="2"/>
  <c r="D66" i="2"/>
  <c r="D39" i="2"/>
  <c r="D38" i="2"/>
  <c r="D37" i="2"/>
  <c r="D36" i="2"/>
  <c r="D35" i="2"/>
  <c r="D8" i="2"/>
  <c r="D119" i="1"/>
  <c r="D110" i="1"/>
  <c r="D102" i="1"/>
  <c r="D96" i="1"/>
  <c r="C73" i="1"/>
  <c r="D66" i="1"/>
  <c r="D76" i="1" s="1"/>
  <c r="D60" i="1"/>
  <c r="D55" i="1"/>
  <c r="D38" i="1"/>
  <c r="D101" i="2" l="1"/>
  <c r="D4" i="2" s="1"/>
  <c r="F115" i="1"/>
  <c r="B112" i="1"/>
  <c r="D101" i="5"/>
  <c r="D71" i="5"/>
  <c r="D40" i="5"/>
  <c r="D101" i="3"/>
  <c r="D71" i="3"/>
  <c r="D40" i="3"/>
  <c r="D101" i="4"/>
  <c r="D71" i="4"/>
  <c r="D40" i="4"/>
  <c r="D71" i="2"/>
  <c r="D40" i="2"/>
  <c r="D71" i="1"/>
  <c r="D111" i="1"/>
  <c r="D115" i="1" s="1"/>
  <c r="B70" i="2"/>
  <c r="C70" i="2" s="1"/>
  <c r="B69" i="2"/>
  <c r="C69" i="2" s="1"/>
  <c r="B68" i="2"/>
  <c r="C68" i="2" s="1"/>
  <c r="B67" i="2"/>
  <c r="C67" i="2" s="1"/>
  <c r="B66" i="2"/>
  <c r="D4" i="5" l="1"/>
  <c r="D3" i="5"/>
  <c r="D4" i="3"/>
  <c r="D3" i="3"/>
  <c r="D4" i="4"/>
  <c r="D3" i="4"/>
  <c r="B71" i="2"/>
  <c r="B3" i="2" s="1"/>
  <c r="C66" i="2"/>
  <c r="D3" i="2"/>
  <c r="C3" i="2" s="1"/>
  <c r="B39" i="5"/>
  <c r="C39" i="5" s="1"/>
  <c r="B38" i="5"/>
  <c r="C38" i="5" s="1"/>
  <c r="B37" i="5"/>
  <c r="C37" i="5" s="1"/>
  <c r="B36" i="5"/>
  <c r="C36" i="5" s="1"/>
  <c r="B35" i="5"/>
  <c r="B39" i="3"/>
  <c r="C39" i="3" s="1"/>
  <c r="B38" i="3"/>
  <c r="C38" i="3" s="1"/>
  <c r="B37" i="3"/>
  <c r="C37" i="3" s="1"/>
  <c r="B36" i="3"/>
  <c r="B35" i="3"/>
  <c r="C35" i="3" s="1"/>
  <c r="B39" i="4"/>
  <c r="C39" i="4" s="1"/>
  <c r="B38" i="4"/>
  <c r="C38" i="4" s="1"/>
  <c r="B37" i="4"/>
  <c r="C37" i="4" s="1"/>
  <c r="B36" i="4"/>
  <c r="C36" i="4" s="1"/>
  <c r="B35" i="4"/>
  <c r="C35" i="4" s="1"/>
  <c r="B39" i="2"/>
  <c r="C39" i="2" s="1"/>
  <c r="B38" i="2"/>
  <c r="C38" i="2" s="1"/>
  <c r="B37" i="2"/>
  <c r="C37" i="2" s="1"/>
  <c r="B36" i="2"/>
  <c r="C36" i="2" s="1"/>
  <c r="B35" i="2"/>
  <c r="B70" i="5"/>
  <c r="C70" i="5" s="1"/>
  <c r="B69" i="5"/>
  <c r="C69" i="5" s="1"/>
  <c r="B68" i="5"/>
  <c r="C68" i="5" s="1"/>
  <c r="B67" i="5"/>
  <c r="C67" i="5" s="1"/>
  <c r="B66" i="5"/>
  <c r="C66" i="5" s="1"/>
  <c r="B70" i="3"/>
  <c r="C70" i="3" s="1"/>
  <c r="B69" i="3"/>
  <c r="C69" i="3" s="1"/>
  <c r="B68" i="3"/>
  <c r="C68" i="3" s="1"/>
  <c r="B67" i="3"/>
  <c r="C67" i="3" s="1"/>
  <c r="B66" i="3"/>
  <c r="B70" i="4"/>
  <c r="C70" i="4" s="1"/>
  <c r="B69" i="4"/>
  <c r="C69" i="4" s="1"/>
  <c r="B68" i="4"/>
  <c r="C68" i="4" s="1"/>
  <c r="B67" i="4"/>
  <c r="C67" i="4" s="1"/>
  <c r="B66" i="4"/>
  <c r="C71" i="2" l="1"/>
  <c r="B71" i="5"/>
  <c r="B40" i="5"/>
  <c r="C40" i="5" s="1"/>
  <c r="C35" i="5"/>
  <c r="B71" i="3"/>
  <c r="C66" i="3"/>
  <c r="B40" i="3"/>
  <c r="C40" i="3" s="1"/>
  <c r="C36" i="3"/>
  <c r="B71" i="4"/>
  <c r="C66" i="4"/>
  <c r="B40" i="4"/>
  <c r="C40" i="4" s="1"/>
  <c r="B40" i="2"/>
  <c r="C40" i="2" s="1"/>
  <c r="C35" i="2"/>
  <c r="B100" i="5"/>
  <c r="C100" i="5" s="1"/>
  <c r="B99" i="5"/>
  <c r="C99" i="5" s="1"/>
  <c r="B98" i="5"/>
  <c r="C98" i="5" s="1"/>
  <c r="B97" i="5"/>
  <c r="C97" i="5" s="1"/>
  <c r="B96" i="5"/>
  <c r="B100" i="3"/>
  <c r="C100" i="3" s="1"/>
  <c r="B99" i="3"/>
  <c r="C99" i="3" s="1"/>
  <c r="B98" i="3"/>
  <c r="C98" i="3" s="1"/>
  <c r="B97" i="3"/>
  <c r="C97" i="3" s="1"/>
  <c r="B96" i="3"/>
  <c r="B100" i="4"/>
  <c r="C100" i="4" s="1"/>
  <c r="B99" i="4"/>
  <c r="C99" i="4" s="1"/>
  <c r="B98" i="4"/>
  <c r="C98" i="4" s="1"/>
  <c r="B97" i="4"/>
  <c r="C97" i="4" s="1"/>
  <c r="B96" i="4"/>
  <c r="H74" i="2"/>
  <c r="B96" i="2"/>
  <c r="C96" i="2" s="1"/>
  <c r="B100" i="2"/>
  <c r="C100" i="2" s="1"/>
  <c r="B99" i="2"/>
  <c r="C99" i="2" s="1"/>
  <c r="B98" i="2"/>
  <c r="C98" i="2" s="1"/>
  <c r="B97" i="2"/>
  <c r="C97" i="2" s="1"/>
  <c r="B101" i="5" l="1"/>
  <c r="C96" i="5"/>
  <c r="B3" i="5"/>
  <c r="C3" i="5" s="1"/>
  <c r="C71" i="5"/>
  <c r="B101" i="3"/>
  <c r="C96" i="3"/>
  <c r="B3" i="3"/>
  <c r="C3" i="3" s="1"/>
  <c r="C71" i="3"/>
  <c r="B101" i="4"/>
  <c r="C96" i="4"/>
  <c r="B3" i="4"/>
  <c r="C3" i="4" s="1"/>
  <c r="C71" i="4"/>
  <c r="B101" i="2"/>
  <c r="M41" i="5"/>
  <c r="K100" i="5"/>
  <c r="I100" i="5"/>
  <c r="G100" i="5"/>
  <c r="F100" i="5" s="1"/>
  <c r="K99" i="5"/>
  <c r="I99" i="5"/>
  <c r="J99" i="5" s="1"/>
  <c r="G99" i="5"/>
  <c r="F99" i="5" s="1"/>
  <c r="K98" i="5"/>
  <c r="I98" i="5"/>
  <c r="J98" i="5" s="1"/>
  <c r="G98" i="5"/>
  <c r="K97" i="5"/>
  <c r="I97" i="5"/>
  <c r="J97" i="5" s="1"/>
  <c r="G97" i="5"/>
  <c r="K96" i="5"/>
  <c r="K101" i="5" s="1"/>
  <c r="I96" i="5"/>
  <c r="G96" i="5"/>
  <c r="J95" i="5"/>
  <c r="J93" i="5"/>
  <c r="J88" i="5"/>
  <c r="H88" i="5"/>
  <c r="J86" i="5"/>
  <c r="H82" i="5"/>
  <c r="J81" i="5"/>
  <c r="H81" i="5"/>
  <c r="J80" i="5"/>
  <c r="H80" i="5"/>
  <c r="J77" i="5"/>
  <c r="H77" i="5"/>
  <c r="J76" i="5"/>
  <c r="H76" i="5"/>
  <c r="J75" i="5"/>
  <c r="H75" i="5"/>
  <c r="J74" i="5"/>
  <c r="H74" i="5"/>
  <c r="K70" i="5"/>
  <c r="I70" i="5"/>
  <c r="J70" i="5" s="1"/>
  <c r="G70" i="5"/>
  <c r="F70" i="5" s="1"/>
  <c r="K69" i="5"/>
  <c r="I69" i="5"/>
  <c r="J69" i="5" s="1"/>
  <c r="G69" i="5"/>
  <c r="K68" i="5"/>
  <c r="I68" i="5"/>
  <c r="J68" i="5" s="1"/>
  <c r="G68" i="5"/>
  <c r="K67" i="5"/>
  <c r="K71" i="5" s="1"/>
  <c r="I67" i="5"/>
  <c r="G67" i="5"/>
  <c r="K66" i="5"/>
  <c r="I66" i="5"/>
  <c r="I71" i="5" s="1"/>
  <c r="G66" i="5"/>
  <c r="F66" i="5" s="1"/>
  <c r="J65" i="5"/>
  <c r="H65" i="5"/>
  <c r="J64" i="5"/>
  <c r="H64" i="5"/>
  <c r="J63" i="5"/>
  <c r="H63" i="5"/>
  <c r="J61" i="5"/>
  <c r="H61" i="5"/>
  <c r="J60" i="5"/>
  <c r="H60" i="5"/>
  <c r="J59" i="5"/>
  <c r="H59" i="5"/>
  <c r="J58" i="5"/>
  <c r="H58" i="5"/>
  <c r="J57" i="5"/>
  <c r="H57" i="5"/>
  <c r="J56" i="5"/>
  <c r="H56" i="5"/>
  <c r="J55" i="5"/>
  <c r="H55" i="5"/>
  <c r="J54" i="5"/>
  <c r="H54" i="5"/>
  <c r="J53" i="5"/>
  <c r="H53" i="5"/>
  <c r="J52" i="5"/>
  <c r="H52" i="5"/>
  <c r="J51" i="5"/>
  <c r="H51" i="5"/>
  <c r="J50" i="5"/>
  <c r="H50" i="5"/>
  <c r="J49" i="5"/>
  <c r="H49" i="5"/>
  <c r="J48" i="5"/>
  <c r="H48" i="5"/>
  <c r="J47" i="5"/>
  <c r="H47" i="5"/>
  <c r="J46" i="5"/>
  <c r="H46" i="5"/>
  <c r="J45" i="5"/>
  <c r="H45" i="5"/>
  <c r="J44" i="5"/>
  <c r="H44" i="5"/>
  <c r="K39" i="5"/>
  <c r="J39" i="5"/>
  <c r="I39" i="5"/>
  <c r="G39" i="5"/>
  <c r="K38" i="5"/>
  <c r="I38" i="5"/>
  <c r="G38" i="5"/>
  <c r="K37" i="5"/>
  <c r="I37" i="5"/>
  <c r="H37" i="5"/>
  <c r="G37" i="5"/>
  <c r="F37" i="5" s="1"/>
  <c r="K36" i="5"/>
  <c r="I36" i="5"/>
  <c r="G36" i="5"/>
  <c r="F36" i="5" s="1"/>
  <c r="K35" i="5"/>
  <c r="J35" i="5"/>
  <c r="I35" i="5"/>
  <c r="G35" i="5"/>
  <c r="H32" i="5"/>
  <c r="J31" i="5"/>
  <c r="H31" i="5"/>
  <c r="J30" i="5"/>
  <c r="H30" i="5"/>
  <c r="J28" i="5"/>
  <c r="H28" i="5"/>
  <c r="J27" i="5"/>
  <c r="H27" i="5"/>
  <c r="J26" i="5"/>
  <c r="H26" i="5"/>
  <c r="J25" i="5"/>
  <c r="H25" i="5"/>
  <c r="J24" i="5"/>
  <c r="H24" i="5"/>
  <c r="J23" i="5"/>
  <c r="H23" i="5"/>
  <c r="J22" i="5"/>
  <c r="H22" i="5"/>
  <c r="J21" i="5"/>
  <c r="H21" i="5"/>
  <c r="J20" i="5"/>
  <c r="H20" i="5"/>
  <c r="J19" i="5"/>
  <c r="H19" i="5"/>
  <c r="J18" i="5"/>
  <c r="H18" i="5"/>
  <c r="J17" i="5"/>
  <c r="H17" i="5"/>
  <c r="J16" i="5"/>
  <c r="H16" i="5"/>
  <c r="J15" i="5"/>
  <c r="H15" i="5"/>
  <c r="J14" i="5"/>
  <c r="H14" i="5"/>
  <c r="J13" i="5"/>
  <c r="H13" i="5"/>
  <c r="L9" i="5"/>
  <c r="J9" i="5"/>
  <c r="H9" i="5"/>
  <c r="K8" i="5"/>
  <c r="I8" i="5"/>
  <c r="G8" i="5"/>
  <c r="J7" i="5"/>
  <c r="H7" i="5"/>
  <c r="J6" i="5"/>
  <c r="H6" i="5"/>
  <c r="J5" i="5"/>
  <c r="H5" i="5"/>
  <c r="M41" i="3"/>
  <c r="M41" i="4"/>
  <c r="M10" i="3"/>
  <c r="M9" i="3"/>
  <c r="K100" i="3"/>
  <c r="I100" i="3"/>
  <c r="G100" i="3"/>
  <c r="F100" i="3" s="1"/>
  <c r="K99" i="3"/>
  <c r="J99" i="3"/>
  <c r="I99" i="3"/>
  <c r="G99" i="3"/>
  <c r="K98" i="3"/>
  <c r="I98" i="3"/>
  <c r="G98" i="3"/>
  <c r="K97" i="3"/>
  <c r="I97" i="3"/>
  <c r="H97" i="3"/>
  <c r="G97" i="3"/>
  <c r="K96" i="3"/>
  <c r="I96" i="3"/>
  <c r="G96" i="3"/>
  <c r="F96" i="3" s="1"/>
  <c r="J95" i="3"/>
  <c r="H95" i="3"/>
  <c r="J94" i="3"/>
  <c r="H94" i="3"/>
  <c r="J93" i="3"/>
  <c r="H93" i="3"/>
  <c r="J92" i="3"/>
  <c r="H92" i="3"/>
  <c r="J91" i="3"/>
  <c r="H91" i="3"/>
  <c r="J90" i="3"/>
  <c r="H90" i="3"/>
  <c r="J89" i="3"/>
  <c r="H89" i="3"/>
  <c r="H88" i="3"/>
  <c r="J87" i="3"/>
  <c r="H87" i="3"/>
  <c r="J86" i="3"/>
  <c r="H86" i="3"/>
  <c r="J85" i="3"/>
  <c r="H85" i="3"/>
  <c r="J83" i="3"/>
  <c r="H83" i="3"/>
  <c r="J82" i="3"/>
  <c r="H82" i="3"/>
  <c r="J81" i="3"/>
  <c r="H81" i="3"/>
  <c r="J80" i="3"/>
  <c r="H80" i="3"/>
  <c r="J79" i="3"/>
  <c r="H79" i="3"/>
  <c r="J78" i="3"/>
  <c r="H78" i="3"/>
  <c r="J77" i="3"/>
  <c r="H77" i="3"/>
  <c r="J76" i="3"/>
  <c r="H76" i="3"/>
  <c r="J75" i="3"/>
  <c r="H75" i="3"/>
  <c r="J74" i="3"/>
  <c r="H74" i="3"/>
  <c r="K70" i="3"/>
  <c r="I70" i="3"/>
  <c r="J70" i="3" s="1"/>
  <c r="G70" i="3"/>
  <c r="K69" i="3"/>
  <c r="I69" i="3"/>
  <c r="G69" i="3"/>
  <c r="K68" i="3"/>
  <c r="I68" i="3"/>
  <c r="G68" i="3"/>
  <c r="F68" i="3" s="1"/>
  <c r="K67" i="3"/>
  <c r="I67" i="3"/>
  <c r="G67" i="3"/>
  <c r="F67" i="3" s="1"/>
  <c r="K66" i="3"/>
  <c r="I66" i="3"/>
  <c r="J66" i="3" s="1"/>
  <c r="G66" i="3"/>
  <c r="J65" i="3"/>
  <c r="H65" i="3"/>
  <c r="J64" i="3"/>
  <c r="H64" i="3"/>
  <c r="J63" i="3"/>
  <c r="H63" i="3"/>
  <c r="J62" i="3"/>
  <c r="H62" i="3"/>
  <c r="J61" i="3"/>
  <c r="H61" i="3"/>
  <c r="H60" i="3"/>
  <c r="J59" i="3"/>
  <c r="H59" i="3"/>
  <c r="J58" i="3"/>
  <c r="H58" i="3"/>
  <c r="J57" i="3"/>
  <c r="H57" i="3"/>
  <c r="J56" i="3"/>
  <c r="H56" i="3"/>
  <c r="J55" i="3"/>
  <c r="H55" i="3"/>
  <c r="J54" i="3"/>
  <c r="H54" i="3"/>
  <c r="J53" i="3"/>
  <c r="H53" i="3"/>
  <c r="J52" i="3"/>
  <c r="H52" i="3"/>
  <c r="J51" i="3"/>
  <c r="H51" i="3"/>
  <c r="J50" i="3"/>
  <c r="H50" i="3"/>
  <c r="J49" i="3"/>
  <c r="H49" i="3"/>
  <c r="J48" i="3"/>
  <c r="H48" i="3"/>
  <c r="J47" i="3"/>
  <c r="H47" i="3"/>
  <c r="J46" i="3"/>
  <c r="H46" i="3"/>
  <c r="J45" i="3"/>
  <c r="H45" i="3"/>
  <c r="J44" i="3"/>
  <c r="K39" i="3"/>
  <c r="I39" i="3"/>
  <c r="G39" i="3"/>
  <c r="K38" i="3"/>
  <c r="I38" i="3"/>
  <c r="G38" i="3"/>
  <c r="K37" i="3"/>
  <c r="I37" i="3"/>
  <c r="G37" i="3"/>
  <c r="F37" i="3" s="1"/>
  <c r="K36" i="3"/>
  <c r="I36" i="3"/>
  <c r="H36" i="3" s="1"/>
  <c r="G36" i="3"/>
  <c r="F36" i="3" s="1"/>
  <c r="K35" i="3"/>
  <c r="I35" i="3"/>
  <c r="G35" i="3"/>
  <c r="J34" i="3"/>
  <c r="H34" i="3"/>
  <c r="J33" i="3"/>
  <c r="H33" i="3"/>
  <c r="J32" i="3"/>
  <c r="H32" i="3"/>
  <c r="J31" i="3"/>
  <c r="H31" i="3"/>
  <c r="J30" i="3"/>
  <c r="H30" i="3"/>
  <c r="H29" i="3"/>
  <c r="J28" i="3"/>
  <c r="H28" i="3"/>
  <c r="H27" i="3"/>
  <c r="J26" i="3"/>
  <c r="H26" i="3"/>
  <c r="J25" i="3"/>
  <c r="H25" i="3"/>
  <c r="J24" i="3"/>
  <c r="H24" i="3"/>
  <c r="J23" i="3"/>
  <c r="H23" i="3"/>
  <c r="J22" i="3"/>
  <c r="H22" i="3"/>
  <c r="J21" i="3"/>
  <c r="H21" i="3"/>
  <c r="J20" i="3"/>
  <c r="H20" i="3"/>
  <c r="J19" i="3"/>
  <c r="H19" i="3"/>
  <c r="J18" i="3"/>
  <c r="H18" i="3"/>
  <c r="J17" i="3"/>
  <c r="H17" i="3"/>
  <c r="J16" i="3"/>
  <c r="H16" i="3"/>
  <c r="J15" i="3"/>
  <c r="H15" i="3"/>
  <c r="J14" i="3"/>
  <c r="H14" i="3"/>
  <c r="J13" i="3"/>
  <c r="H13" i="3"/>
  <c r="M8" i="3"/>
  <c r="K8" i="3"/>
  <c r="I8" i="3"/>
  <c r="G8" i="3"/>
  <c r="L7" i="3"/>
  <c r="J7" i="3"/>
  <c r="H7" i="3"/>
  <c r="L6" i="3"/>
  <c r="J6" i="3"/>
  <c r="H6" i="3"/>
  <c r="L5" i="3"/>
  <c r="J5" i="3"/>
  <c r="H5" i="3"/>
  <c r="K100" i="4"/>
  <c r="I100" i="4"/>
  <c r="G100" i="4"/>
  <c r="F100" i="4" s="1"/>
  <c r="K99" i="4"/>
  <c r="I99" i="4"/>
  <c r="J99" i="4" s="1"/>
  <c r="G99" i="4"/>
  <c r="K98" i="4"/>
  <c r="I98" i="4"/>
  <c r="G98" i="4"/>
  <c r="K97" i="4"/>
  <c r="I97" i="4"/>
  <c r="G97" i="4"/>
  <c r="H97" i="4" s="1"/>
  <c r="K96" i="4"/>
  <c r="I96" i="4"/>
  <c r="G96" i="4"/>
  <c r="F96" i="4" s="1"/>
  <c r="J95" i="4"/>
  <c r="H95" i="4"/>
  <c r="J94" i="4"/>
  <c r="H94" i="4"/>
  <c r="J93" i="4"/>
  <c r="H93" i="4"/>
  <c r="J92" i="4"/>
  <c r="H92" i="4"/>
  <c r="J91" i="4"/>
  <c r="H91" i="4"/>
  <c r="J89" i="4"/>
  <c r="H89" i="4"/>
  <c r="J87" i="4"/>
  <c r="H87" i="4"/>
  <c r="J86" i="4"/>
  <c r="H86" i="4"/>
  <c r="J85" i="4"/>
  <c r="H85" i="4"/>
  <c r="J84" i="4"/>
  <c r="H84" i="4"/>
  <c r="J83" i="4"/>
  <c r="H83" i="4"/>
  <c r="J82" i="4"/>
  <c r="H82" i="4"/>
  <c r="J81" i="4"/>
  <c r="H81" i="4"/>
  <c r="J80" i="4"/>
  <c r="H80" i="4"/>
  <c r="J79" i="4"/>
  <c r="H79" i="4"/>
  <c r="J78" i="4"/>
  <c r="H78" i="4"/>
  <c r="J77" i="4"/>
  <c r="H77" i="4"/>
  <c r="J76" i="4"/>
  <c r="H76" i="4"/>
  <c r="J75" i="4"/>
  <c r="H75" i="4"/>
  <c r="J74" i="4"/>
  <c r="H74" i="4"/>
  <c r="K70" i="4"/>
  <c r="I70" i="4"/>
  <c r="G70" i="4"/>
  <c r="F70" i="4" s="1"/>
  <c r="K69" i="4"/>
  <c r="J69" i="4"/>
  <c r="I69" i="4"/>
  <c r="G69" i="4"/>
  <c r="K68" i="4"/>
  <c r="I68" i="4"/>
  <c r="G68" i="4"/>
  <c r="K67" i="4"/>
  <c r="I67" i="4"/>
  <c r="H67" i="4"/>
  <c r="G67" i="4"/>
  <c r="K66" i="4"/>
  <c r="I66" i="4"/>
  <c r="G66" i="4"/>
  <c r="F66" i="4" s="1"/>
  <c r="J65" i="4"/>
  <c r="H65" i="4"/>
  <c r="J64" i="4"/>
  <c r="H64" i="4"/>
  <c r="J63" i="4"/>
  <c r="H63" i="4"/>
  <c r="J62" i="4"/>
  <c r="H62" i="4"/>
  <c r="J61" i="4"/>
  <c r="H61" i="4"/>
  <c r="J60" i="4"/>
  <c r="H60" i="4"/>
  <c r="J59" i="4"/>
  <c r="H59" i="4"/>
  <c r="J57" i="4"/>
  <c r="H57" i="4"/>
  <c r="J56" i="4"/>
  <c r="H56" i="4"/>
  <c r="J55" i="4"/>
  <c r="H55" i="4"/>
  <c r="J54" i="4"/>
  <c r="H54" i="4"/>
  <c r="J53" i="4"/>
  <c r="H53" i="4"/>
  <c r="J52" i="4"/>
  <c r="H52" i="4"/>
  <c r="J51" i="4"/>
  <c r="H51" i="4"/>
  <c r="J50" i="4"/>
  <c r="H50" i="4"/>
  <c r="J49" i="4"/>
  <c r="H49" i="4"/>
  <c r="J48" i="4"/>
  <c r="H48" i="4"/>
  <c r="J47" i="4"/>
  <c r="H47" i="4"/>
  <c r="J46" i="4"/>
  <c r="H46" i="4"/>
  <c r="J45" i="4"/>
  <c r="H45" i="4"/>
  <c r="J44" i="4"/>
  <c r="H44" i="4"/>
  <c r="K39" i="4"/>
  <c r="I39" i="4"/>
  <c r="J39" i="4" s="1"/>
  <c r="G39" i="4"/>
  <c r="K38" i="4"/>
  <c r="I38" i="4"/>
  <c r="G38" i="4"/>
  <c r="K37" i="4"/>
  <c r="I37" i="4"/>
  <c r="J37" i="4" s="1"/>
  <c r="G37" i="4"/>
  <c r="F37" i="4" s="1"/>
  <c r="K36" i="4"/>
  <c r="I36" i="4"/>
  <c r="G36" i="4"/>
  <c r="K35" i="4"/>
  <c r="I35" i="4"/>
  <c r="J35" i="4" s="1"/>
  <c r="J34" i="4"/>
  <c r="H34" i="4"/>
  <c r="J33" i="4"/>
  <c r="H33" i="4"/>
  <c r="J32" i="4"/>
  <c r="H32" i="4"/>
  <c r="J31" i="4"/>
  <c r="H31" i="4"/>
  <c r="J30" i="4"/>
  <c r="H30" i="4"/>
  <c r="J29" i="4"/>
  <c r="H29" i="4"/>
  <c r="J28" i="4"/>
  <c r="H28" i="4"/>
  <c r="J27" i="4"/>
  <c r="H27" i="4"/>
  <c r="J26" i="4"/>
  <c r="H26" i="4"/>
  <c r="J25" i="4"/>
  <c r="H25" i="4"/>
  <c r="J24" i="4"/>
  <c r="H24" i="4"/>
  <c r="J23" i="4"/>
  <c r="H23" i="4"/>
  <c r="J22" i="4"/>
  <c r="H22" i="4"/>
  <c r="J21" i="4"/>
  <c r="H21" i="4"/>
  <c r="J20" i="4"/>
  <c r="H20" i="4"/>
  <c r="J19" i="4"/>
  <c r="H19" i="4"/>
  <c r="J18" i="4"/>
  <c r="H18" i="4"/>
  <c r="J17" i="4"/>
  <c r="H17" i="4"/>
  <c r="J16" i="4"/>
  <c r="H16" i="4"/>
  <c r="J15" i="4"/>
  <c r="H15" i="4"/>
  <c r="J14" i="4"/>
  <c r="H14" i="4"/>
  <c r="J13" i="4"/>
  <c r="H13" i="4"/>
  <c r="M10" i="4"/>
  <c r="M9" i="4"/>
  <c r="M8" i="4"/>
  <c r="K8" i="4"/>
  <c r="I8" i="4"/>
  <c r="G8" i="4"/>
  <c r="L7" i="4"/>
  <c r="J7" i="4"/>
  <c r="H7" i="4"/>
  <c r="L6" i="4"/>
  <c r="J6" i="4"/>
  <c r="H6" i="4"/>
  <c r="L5" i="4"/>
  <c r="J5" i="4"/>
  <c r="H5" i="4"/>
  <c r="M10" i="2"/>
  <c r="M9" i="2"/>
  <c r="M41" i="2"/>
  <c r="K100" i="2"/>
  <c r="I100" i="2"/>
  <c r="G100" i="2"/>
  <c r="F100" i="2" s="1"/>
  <c r="K99" i="2"/>
  <c r="J99" i="2"/>
  <c r="I99" i="2"/>
  <c r="G99" i="2"/>
  <c r="K98" i="2"/>
  <c r="I98" i="2"/>
  <c r="G98" i="2"/>
  <c r="K97" i="2"/>
  <c r="I97" i="2"/>
  <c r="H97" i="2"/>
  <c r="G97" i="2"/>
  <c r="K96" i="2"/>
  <c r="I96" i="2"/>
  <c r="G96" i="2"/>
  <c r="F96" i="2" s="1"/>
  <c r="J95" i="2"/>
  <c r="J93" i="2"/>
  <c r="H93" i="2"/>
  <c r="J92" i="2"/>
  <c r="H92" i="2"/>
  <c r="J91" i="2"/>
  <c r="H91" i="2"/>
  <c r="J90" i="2"/>
  <c r="H90" i="2"/>
  <c r="J89" i="2"/>
  <c r="J88" i="2"/>
  <c r="H88" i="2"/>
  <c r="J87" i="2"/>
  <c r="H87" i="2"/>
  <c r="J86" i="2"/>
  <c r="H86" i="2"/>
  <c r="J81" i="2"/>
  <c r="H81" i="2"/>
  <c r="J79" i="2"/>
  <c r="H79" i="2"/>
  <c r="H78" i="2"/>
  <c r="J76" i="2"/>
  <c r="H76" i="2"/>
  <c r="J75" i="2"/>
  <c r="H75" i="2"/>
  <c r="J74" i="2"/>
  <c r="K70" i="2"/>
  <c r="I70" i="2"/>
  <c r="G70" i="2"/>
  <c r="F70" i="2" s="1"/>
  <c r="K69" i="2"/>
  <c r="I69" i="2"/>
  <c r="J69" i="2" s="1"/>
  <c r="G69" i="2"/>
  <c r="K68" i="2"/>
  <c r="I68" i="2"/>
  <c r="G68" i="2"/>
  <c r="K67" i="2"/>
  <c r="I67" i="2"/>
  <c r="G67" i="2"/>
  <c r="H67" i="2" s="1"/>
  <c r="K66" i="2"/>
  <c r="I66" i="2"/>
  <c r="G66" i="2"/>
  <c r="F66" i="2" s="1"/>
  <c r="J65" i="2"/>
  <c r="H65" i="2"/>
  <c r="J64" i="2"/>
  <c r="H64" i="2"/>
  <c r="J63" i="2"/>
  <c r="H63" i="2"/>
  <c r="J62" i="2"/>
  <c r="H62" i="2"/>
  <c r="J61" i="2"/>
  <c r="H61" i="2"/>
  <c r="J60" i="2"/>
  <c r="H60" i="2"/>
  <c r="J59" i="2"/>
  <c r="H59" i="2"/>
  <c r="J58" i="2"/>
  <c r="H58" i="2"/>
  <c r="J57" i="2"/>
  <c r="H57" i="2"/>
  <c r="J56" i="2"/>
  <c r="H56" i="2"/>
  <c r="J54" i="2"/>
  <c r="J53" i="2"/>
  <c r="J51" i="2"/>
  <c r="H51" i="2"/>
  <c r="J49" i="2"/>
  <c r="H49" i="2"/>
  <c r="J48" i="2"/>
  <c r="H48" i="2"/>
  <c r="J47" i="2"/>
  <c r="J46" i="2"/>
  <c r="H46" i="2"/>
  <c r="J45" i="2"/>
  <c r="H45" i="2"/>
  <c r="J44" i="2"/>
  <c r="H44" i="2"/>
  <c r="K39" i="2"/>
  <c r="J39" i="2"/>
  <c r="I39" i="2"/>
  <c r="G39" i="2"/>
  <c r="K38" i="2"/>
  <c r="I38" i="2"/>
  <c r="G38" i="2"/>
  <c r="K37" i="2"/>
  <c r="I37" i="2"/>
  <c r="H37" i="2"/>
  <c r="G37" i="2"/>
  <c r="F37" i="2" s="1"/>
  <c r="K36" i="2"/>
  <c r="I36" i="2"/>
  <c r="G36" i="2"/>
  <c r="F36" i="2" s="1"/>
  <c r="K35" i="2"/>
  <c r="J35" i="2"/>
  <c r="I35" i="2"/>
  <c r="G35" i="2"/>
  <c r="F35" i="2" s="1"/>
  <c r="J34" i="2"/>
  <c r="H34" i="2"/>
  <c r="J33" i="2"/>
  <c r="H33" i="2"/>
  <c r="J32" i="2"/>
  <c r="H32" i="2"/>
  <c r="J31" i="2"/>
  <c r="H31" i="2"/>
  <c r="J30" i="2"/>
  <c r="H30" i="2"/>
  <c r="J29" i="2"/>
  <c r="H29" i="2"/>
  <c r="J28" i="2"/>
  <c r="H28" i="2"/>
  <c r="J27" i="2"/>
  <c r="H27" i="2"/>
  <c r="J26" i="2"/>
  <c r="H26" i="2"/>
  <c r="J25" i="2"/>
  <c r="H25" i="2"/>
  <c r="J21" i="2"/>
  <c r="J20" i="2"/>
  <c r="H20" i="2"/>
  <c r="J18" i="2"/>
  <c r="H18" i="2"/>
  <c r="J17" i="2"/>
  <c r="H17" i="2"/>
  <c r="J15" i="2"/>
  <c r="H15" i="2"/>
  <c r="J14" i="2"/>
  <c r="H14" i="2"/>
  <c r="J13" i="2"/>
  <c r="H13" i="2"/>
  <c r="M8" i="2"/>
  <c r="K8" i="2"/>
  <c r="I8" i="2"/>
  <c r="G8" i="2"/>
  <c r="J7" i="2"/>
  <c r="H7" i="2"/>
  <c r="J6" i="2"/>
  <c r="H6" i="2"/>
  <c r="L5" i="2"/>
  <c r="J5" i="2"/>
  <c r="H5" i="2"/>
  <c r="C125" i="1"/>
  <c r="C80" i="1"/>
  <c r="C82" i="1"/>
  <c r="C83" i="1"/>
  <c r="C84" i="1"/>
  <c r="C85" i="1"/>
  <c r="B48" i="1"/>
  <c r="B76" i="1" s="1"/>
  <c r="B38" i="1"/>
  <c r="H39" i="5" l="1"/>
  <c r="F39" i="5"/>
  <c r="K40" i="5"/>
  <c r="K41" i="5" s="1"/>
  <c r="H38" i="5"/>
  <c r="F38" i="5"/>
  <c r="H68" i="5"/>
  <c r="F68" i="5"/>
  <c r="H69" i="5"/>
  <c r="F69" i="5"/>
  <c r="H70" i="5"/>
  <c r="H97" i="5"/>
  <c r="F97" i="5"/>
  <c r="H98" i="5"/>
  <c r="F98" i="5"/>
  <c r="H99" i="5"/>
  <c r="J100" i="5"/>
  <c r="G40" i="5"/>
  <c r="F35" i="5"/>
  <c r="H67" i="5"/>
  <c r="F67" i="5"/>
  <c r="H96" i="5"/>
  <c r="F96" i="5"/>
  <c r="H36" i="5"/>
  <c r="J37" i="5"/>
  <c r="J38" i="5"/>
  <c r="H66" i="5"/>
  <c r="J67" i="5"/>
  <c r="J96" i="5"/>
  <c r="K40" i="3"/>
  <c r="K41" i="3" s="1"/>
  <c r="J37" i="3"/>
  <c r="J38" i="3"/>
  <c r="J35" i="3"/>
  <c r="J39" i="3"/>
  <c r="H68" i="3"/>
  <c r="K40" i="4"/>
  <c r="K41" i="4" s="1"/>
  <c r="G71" i="3"/>
  <c r="F71" i="3" s="1"/>
  <c r="F66" i="3"/>
  <c r="H39" i="3"/>
  <c r="F39" i="3"/>
  <c r="H67" i="3"/>
  <c r="J68" i="3"/>
  <c r="J69" i="3"/>
  <c r="H96" i="3"/>
  <c r="J97" i="3"/>
  <c r="J98" i="3"/>
  <c r="H38" i="3"/>
  <c r="F38" i="3"/>
  <c r="H70" i="3"/>
  <c r="F70" i="3"/>
  <c r="K101" i="3"/>
  <c r="L101" i="3" s="1"/>
  <c r="H99" i="3"/>
  <c r="F99" i="3"/>
  <c r="G40" i="3"/>
  <c r="F35" i="3"/>
  <c r="H37" i="3"/>
  <c r="K71" i="3"/>
  <c r="L71" i="3" s="1"/>
  <c r="H69" i="3"/>
  <c r="F69" i="3"/>
  <c r="G101" i="3"/>
  <c r="F101" i="3" s="1"/>
  <c r="F97" i="3"/>
  <c r="H98" i="3"/>
  <c r="F98" i="3"/>
  <c r="H100" i="3"/>
  <c r="H38" i="4"/>
  <c r="F38" i="4"/>
  <c r="K71" i="4"/>
  <c r="K3" i="4" s="1"/>
  <c r="H69" i="4"/>
  <c r="F69" i="4"/>
  <c r="G40" i="4"/>
  <c r="H36" i="4"/>
  <c r="F36" i="4"/>
  <c r="H37" i="4"/>
  <c r="J38" i="4"/>
  <c r="G71" i="4"/>
  <c r="F71" i="4" s="1"/>
  <c r="F67" i="4"/>
  <c r="H68" i="4"/>
  <c r="F68" i="4"/>
  <c r="H70" i="4"/>
  <c r="H96" i="4"/>
  <c r="J97" i="4"/>
  <c r="J98" i="4"/>
  <c r="I40" i="4"/>
  <c r="I41" i="4" s="1"/>
  <c r="K101" i="4"/>
  <c r="L101" i="4" s="1"/>
  <c r="H99" i="4"/>
  <c r="F99" i="4"/>
  <c r="H39" i="4"/>
  <c r="F39" i="4"/>
  <c r="H66" i="4"/>
  <c r="J67" i="4"/>
  <c r="J68" i="4"/>
  <c r="G101" i="4"/>
  <c r="F101" i="4" s="1"/>
  <c r="F97" i="4"/>
  <c r="H98" i="4"/>
  <c r="F98" i="4"/>
  <c r="H100" i="4"/>
  <c r="H39" i="2"/>
  <c r="F39" i="2"/>
  <c r="K40" i="2"/>
  <c r="K41" i="2" s="1"/>
  <c r="H38" i="2"/>
  <c r="F38" i="2"/>
  <c r="H66" i="2"/>
  <c r="J67" i="2"/>
  <c r="J68" i="2"/>
  <c r="H96" i="2"/>
  <c r="J97" i="2"/>
  <c r="J98" i="2"/>
  <c r="K71" i="2"/>
  <c r="L71" i="2" s="1"/>
  <c r="H69" i="2"/>
  <c r="F69" i="2"/>
  <c r="K101" i="2"/>
  <c r="K4" i="2" s="1"/>
  <c r="K10" i="2" s="1"/>
  <c r="H99" i="2"/>
  <c r="F99" i="2"/>
  <c r="G40" i="2"/>
  <c r="H36" i="2"/>
  <c r="J37" i="2"/>
  <c r="J38" i="2"/>
  <c r="G71" i="2"/>
  <c r="F71" i="2" s="1"/>
  <c r="F67" i="2"/>
  <c r="H68" i="2"/>
  <c r="F68" i="2"/>
  <c r="H70" i="2"/>
  <c r="G101" i="2"/>
  <c r="F101" i="2" s="1"/>
  <c r="F97" i="2"/>
  <c r="H98" i="2"/>
  <c r="F98" i="2"/>
  <c r="H100" i="2"/>
  <c r="B4" i="5"/>
  <c r="C4" i="5" s="1"/>
  <c r="C101" i="5"/>
  <c r="B4" i="3"/>
  <c r="C4" i="3" s="1"/>
  <c r="C101" i="3"/>
  <c r="B4" i="4"/>
  <c r="C4" i="4" s="1"/>
  <c r="C101" i="4"/>
  <c r="B4" i="2"/>
  <c r="C4" i="2" s="1"/>
  <c r="C101" i="2"/>
  <c r="C54" i="1"/>
  <c r="L40" i="5"/>
  <c r="J71" i="5"/>
  <c r="I3" i="5"/>
  <c r="L71" i="5"/>
  <c r="K3" i="5"/>
  <c r="K4" i="5"/>
  <c r="L101" i="5"/>
  <c r="I40" i="5"/>
  <c r="I41" i="5" s="1"/>
  <c r="G71" i="5"/>
  <c r="F71" i="5" s="1"/>
  <c r="G101" i="5"/>
  <c r="F101" i="5" s="1"/>
  <c r="H35" i="5"/>
  <c r="J66" i="5"/>
  <c r="I101" i="5"/>
  <c r="J36" i="5"/>
  <c r="K4" i="3"/>
  <c r="K10" i="3" s="1"/>
  <c r="L40" i="3"/>
  <c r="I71" i="3"/>
  <c r="J36" i="3"/>
  <c r="J67" i="3"/>
  <c r="H35" i="3"/>
  <c r="H66" i="3"/>
  <c r="I40" i="3"/>
  <c r="I41" i="3" s="1"/>
  <c r="J96" i="3"/>
  <c r="J100" i="3"/>
  <c r="I101" i="3"/>
  <c r="J96" i="4"/>
  <c r="J100" i="4"/>
  <c r="I101" i="4"/>
  <c r="G3" i="4"/>
  <c r="F3" i="4" s="1"/>
  <c r="J70" i="4"/>
  <c r="J66" i="4"/>
  <c r="I71" i="4"/>
  <c r="L40" i="4"/>
  <c r="J36" i="4"/>
  <c r="H35" i="4"/>
  <c r="G4" i="2"/>
  <c r="J96" i="2"/>
  <c r="J100" i="2"/>
  <c r="I101" i="2"/>
  <c r="K3" i="2"/>
  <c r="K9" i="2" s="1"/>
  <c r="J66" i="2"/>
  <c r="J70" i="2"/>
  <c r="I71" i="2"/>
  <c r="I40" i="2"/>
  <c r="I41" i="2" s="1"/>
  <c r="J36" i="2"/>
  <c r="H35" i="2"/>
  <c r="J3" i="5" l="1"/>
  <c r="F40" i="5"/>
  <c r="G41" i="5"/>
  <c r="K3" i="3"/>
  <c r="K9" i="3" s="1"/>
  <c r="G3" i="3"/>
  <c r="J40" i="4"/>
  <c r="L71" i="4"/>
  <c r="K4" i="4"/>
  <c r="H71" i="4"/>
  <c r="G3" i="2"/>
  <c r="F3" i="2" s="1"/>
  <c r="F3" i="3"/>
  <c r="G9" i="3"/>
  <c r="F40" i="3"/>
  <c r="G41" i="3"/>
  <c r="G4" i="3"/>
  <c r="F40" i="4"/>
  <c r="G41" i="4"/>
  <c r="H40" i="4"/>
  <c r="G4" i="4"/>
  <c r="H40" i="2"/>
  <c r="L101" i="2"/>
  <c r="F40" i="2"/>
  <c r="G41" i="2"/>
  <c r="F4" i="2"/>
  <c r="G10" i="2"/>
  <c r="L40" i="2"/>
  <c r="G9" i="2"/>
  <c r="C42" i="1"/>
  <c r="C46" i="1"/>
  <c r="C39" i="1"/>
  <c r="C43" i="1"/>
  <c r="C47" i="1"/>
  <c r="C40" i="1"/>
  <c r="C44" i="1"/>
  <c r="C41" i="1"/>
  <c r="C48" i="1"/>
  <c r="C38" i="1"/>
  <c r="H71" i="5"/>
  <c r="G3" i="5"/>
  <c r="H101" i="5"/>
  <c r="G4" i="5"/>
  <c r="F4" i="5" s="1"/>
  <c r="J101" i="5"/>
  <c r="I4" i="5"/>
  <c r="J4" i="5" s="1"/>
  <c r="J40" i="5"/>
  <c r="H40" i="5"/>
  <c r="H4" i="3"/>
  <c r="J40" i="3"/>
  <c r="L3" i="3"/>
  <c r="I4" i="3"/>
  <c r="I10" i="3" s="1"/>
  <c r="J101" i="3"/>
  <c r="I3" i="3"/>
  <c r="I9" i="3" s="1"/>
  <c r="J71" i="3"/>
  <c r="H40" i="3"/>
  <c r="H71" i="3"/>
  <c r="H101" i="3"/>
  <c r="L4" i="3"/>
  <c r="I4" i="4"/>
  <c r="I10" i="4" s="1"/>
  <c r="J101" i="4"/>
  <c r="L4" i="4"/>
  <c r="K10" i="4"/>
  <c r="H101" i="4"/>
  <c r="I3" i="4"/>
  <c r="I9" i="4" s="1"/>
  <c r="J71" i="4"/>
  <c r="G9" i="4"/>
  <c r="L3" i="4"/>
  <c r="K9" i="4"/>
  <c r="L4" i="2"/>
  <c r="I4" i="2"/>
  <c r="I10" i="2" s="1"/>
  <c r="J101" i="2"/>
  <c r="H101" i="2"/>
  <c r="J71" i="2"/>
  <c r="I3" i="2"/>
  <c r="I9" i="2" s="1"/>
  <c r="L3" i="2"/>
  <c r="H71" i="2"/>
  <c r="J40" i="2"/>
  <c r="C61" i="1"/>
  <c r="C65" i="1"/>
  <c r="C71" i="1"/>
  <c r="C49" i="1"/>
  <c r="C50" i="1"/>
  <c r="C52" i="1"/>
  <c r="C56" i="1"/>
  <c r="C57" i="1"/>
  <c r="C58" i="1"/>
  <c r="C68" i="1"/>
  <c r="C69" i="1"/>
  <c r="C66" i="1"/>
  <c r="C51" i="1"/>
  <c r="C59" i="1"/>
  <c r="C53" i="1"/>
  <c r="C60" i="1"/>
  <c r="C62" i="1"/>
  <c r="C64" i="1"/>
  <c r="C67" i="1"/>
  <c r="C70" i="1"/>
  <c r="C55" i="1"/>
  <c r="H3" i="5" l="1"/>
  <c r="F3" i="5"/>
  <c r="H3" i="4"/>
  <c r="F4" i="3"/>
  <c r="G10" i="3"/>
  <c r="G10" i="4"/>
  <c r="F4" i="4"/>
  <c r="H3" i="2"/>
  <c r="H4" i="5"/>
  <c r="J3" i="3"/>
  <c r="H3" i="3"/>
  <c r="J4" i="3"/>
  <c r="J4" i="4"/>
  <c r="H4" i="4"/>
  <c r="J3" i="4"/>
  <c r="H4" i="2"/>
  <c r="J4" i="2"/>
  <c r="J3" i="2"/>
  <c r="D212" i="1" l="1"/>
  <c r="B212" i="1"/>
  <c r="D182" i="1"/>
  <c r="B182" i="1"/>
  <c r="D149" i="1"/>
  <c r="B149" i="1"/>
  <c r="B150" i="1"/>
  <c r="D214" i="1" l="1"/>
  <c r="B214" i="1"/>
  <c r="D213" i="1"/>
  <c r="B213" i="1"/>
  <c r="D211" i="1"/>
  <c r="B211" i="1"/>
  <c r="D210" i="1"/>
  <c r="B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D184" i="1"/>
  <c r="B184" i="1"/>
  <c r="D183" i="1"/>
  <c r="B183" i="1"/>
  <c r="D181" i="1"/>
  <c r="B181" i="1"/>
  <c r="D180" i="1"/>
  <c r="B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5" i="1"/>
  <c r="C154" i="1"/>
  <c r="D151" i="1"/>
  <c r="B151" i="1"/>
  <c r="D150" i="1"/>
  <c r="C150" i="1" s="1"/>
  <c r="D148" i="1"/>
  <c r="B148" i="1"/>
  <c r="D147" i="1"/>
  <c r="B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D122" i="1"/>
  <c r="C118" i="1"/>
  <c r="C117" i="1"/>
  <c r="C116" i="1"/>
  <c r="C114" i="1"/>
  <c r="C113" i="1"/>
  <c r="B110" i="1"/>
  <c r="C106" i="1"/>
  <c r="C105" i="1"/>
  <c r="C103" i="1"/>
  <c r="B102" i="1"/>
  <c r="C100" i="1"/>
  <c r="C98" i="1"/>
  <c r="C97" i="1"/>
  <c r="C95" i="1"/>
  <c r="C94" i="1"/>
  <c r="C93" i="1"/>
  <c r="C92" i="1"/>
  <c r="C91" i="1"/>
  <c r="C90" i="1"/>
  <c r="C89" i="1"/>
  <c r="C88" i="1"/>
  <c r="C31" i="1"/>
  <c r="C21" i="1"/>
  <c r="C19" i="1"/>
  <c r="B17" i="1"/>
  <c r="C14" i="1"/>
  <c r="B13" i="1"/>
  <c r="B15" i="1" s="1"/>
  <c r="C12" i="1"/>
  <c r="C11" i="1"/>
  <c r="C10" i="1"/>
  <c r="C9" i="1"/>
  <c r="C8" i="1"/>
  <c r="C7" i="1"/>
  <c r="C6" i="1"/>
  <c r="C5" i="1"/>
  <c r="C4" i="1"/>
  <c r="B215" i="1" l="1"/>
  <c r="B3" i="1" s="1"/>
  <c r="B119" i="1"/>
  <c r="C15" i="1"/>
  <c r="B24" i="1"/>
  <c r="B25" i="1" s="1"/>
  <c r="C213" i="1"/>
  <c r="C214" i="1"/>
  <c r="C147" i="1"/>
  <c r="C151" i="1"/>
  <c r="C183" i="1"/>
  <c r="C110" i="1"/>
  <c r="C102" i="1"/>
  <c r="D185" i="1"/>
  <c r="D2" i="1" s="1"/>
  <c r="B185" i="1"/>
  <c r="B2" i="1" s="1"/>
  <c r="C184" i="1"/>
  <c r="B152" i="1"/>
  <c r="C148" i="1"/>
  <c r="C210" i="1"/>
  <c r="C212" i="1"/>
  <c r="C211" i="1"/>
  <c r="C149" i="1"/>
  <c r="C182" i="1"/>
  <c r="C17" i="1"/>
  <c r="C16" i="1"/>
  <c r="C13" i="1"/>
  <c r="C181" i="1"/>
  <c r="D152" i="1"/>
  <c r="D215" i="1"/>
  <c r="D3" i="1" s="1"/>
  <c r="C180" i="1"/>
  <c r="D41" i="4" l="1"/>
  <c r="D41" i="2"/>
  <c r="D41" i="5"/>
  <c r="D41" i="3"/>
  <c r="D9" i="3"/>
  <c r="D9" i="2"/>
  <c r="D9" i="4"/>
  <c r="D10" i="4"/>
  <c r="D10" i="3"/>
  <c r="D10" i="2"/>
  <c r="B41" i="2"/>
  <c r="B41" i="4"/>
  <c r="B41" i="3"/>
  <c r="B41" i="5"/>
  <c r="C2" i="1"/>
  <c r="B9" i="3"/>
  <c r="B9" i="2"/>
  <c r="B9" i="4"/>
  <c r="B10" i="3"/>
  <c r="B10" i="4"/>
  <c r="B10" i="2"/>
  <c r="C3" i="1"/>
  <c r="B26" i="1"/>
  <c r="B27" i="1" s="1"/>
  <c r="C185" i="1"/>
  <c r="C152" i="1"/>
  <c r="C24" i="1"/>
  <c r="C18" i="1"/>
  <c r="C215" i="1"/>
  <c r="C26" i="1" l="1"/>
  <c r="B22" i="1" l="1"/>
  <c r="C22" i="1" s="1"/>
  <c r="B79" i="1"/>
  <c r="C79" i="1" s="1"/>
  <c r="C20" i="1"/>
  <c r="B86" i="1" l="1"/>
  <c r="B96" i="1" s="1"/>
  <c r="B28" i="1"/>
  <c r="C28" i="1" s="1"/>
  <c r="B29" i="1"/>
  <c r="B111" i="1" l="1"/>
  <c r="B115" i="1" s="1"/>
  <c r="C86" i="1"/>
  <c r="C96" i="1"/>
  <c r="C111" i="1" l="1"/>
  <c r="C115" i="1" l="1"/>
  <c r="C112" i="1" l="1"/>
</calcChain>
</file>

<file path=xl/sharedStrings.xml><?xml version="1.0" encoding="utf-8"?>
<sst xmlns="http://schemas.openxmlformats.org/spreadsheetml/2006/main" count="654" uniqueCount="156">
  <si>
    <t>STRABAG SE</t>
  </si>
  <si>
    <t>% 2013-2014</t>
  </si>
  <si>
    <t>% 2012-2013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</si>
  <si>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</si>
  <si>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</si>
  <si>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</si>
  <si>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</si>
  <si>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</si>
  <si>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</si>
  <si>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</si>
  <si>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Employee benefits expense </t>
  </si>
  <si>
    <t xml:space="preserve">Other operating expenses </t>
  </si>
  <si>
    <t xml:space="preserve">Share of profit or loss of associates </t>
  </si>
  <si>
    <t>n.m.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</si>
  <si>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</si>
  <si>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</si>
  <si>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</si>
  <si>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</si>
  <si>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</si>
  <si>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</si>
  <si>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</si>
  <si>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</si>
  <si>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</si>
  <si>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</si>
  <si>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</si>
  <si>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</si>
  <si>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per share</t>
  </si>
  <si>
    <t>Dividend Payout Ratio</t>
  </si>
  <si>
    <t>ROCE in %</t>
  </si>
  <si>
    <t>2014: % of balance sheet total</t>
  </si>
  <si>
    <t>2013: % of balance sheet total</t>
  </si>
  <si>
    <t>Non-current assets</t>
  </si>
  <si>
    <t xml:space="preserve">Intangible assets </t>
  </si>
  <si>
    <t xml:space="preserve">Property, plant and equipment </t>
  </si>
  <si>
    <t xml:space="preserve">Investment property </t>
  </si>
  <si>
    <t xml:space="preserve">Investments in associates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</si>
  <si>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</si>
  <si>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</si>
  <si>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</si>
  <si>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</si>
  <si>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</si>
  <si>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</si>
  <si>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</si>
  <si>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</si>
  <si>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-</t>
  </si>
  <si>
    <t>Group equity</t>
  </si>
  <si>
    <t xml:space="preserve">Share capital </t>
  </si>
  <si>
    <t xml:space="preserve">Capital reserves </t>
  </si>
  <si>
    <t xml:space="preserve">Retained earnings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</si>
  <si>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</si>
  <si>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</si>
  <si>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</si>
  <si>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</si>
  <si>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</si>
  <si>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</si>
  <si>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</si>
  <si>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</si>
  <si>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</si>
  <si>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</si>
  <si>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</si>
  <si>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</si>
  <si>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WC as % of revenue</t>
  </si>
  <si>
    <t>Net income</t>
  </si>
  <si>
    <t>Non-cash effective results from consolidation</t>
  </si>
  <si>
    <t>Non-cash effective results from associates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</si>
  <si>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</si>
  <si>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</si>
  <si>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</si>
  <si>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</si>
  <si>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</si>
  <si>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</si>
  <si>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</si>
  <si>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</si>
  <si>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</si>
  <si>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</si>
  <si>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</si>
  <si>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</si>
  <si>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</si>
  <si>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</si>
  <si>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</si>
  <si>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</si>
  <si>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>Change in other cash clearing receivables</t>
  </si>
  <si>
    <t xml:space="preserve">Change in scope of consolidation </t>
  </si>
  <si>
    <t xml:space="preserve">Cash flow from investing activities </t>
  </si>
  <si>
    <t xml:space="preserve">Change in bank borrowings </t>
  </si>
  <si>
    <t>Change in bonds / bonded loan</t>
  </si>
  <si>
    <t xml:space="preserve">Change in liabilities from finance leases </t>
  </si>
  <si>
    <t>Change in non-controlling interest due to acquisitions</t>
  </si>
  <si>
    <t>Acquisition of own shares</t>
  </si>
  <si>
    <t xml:space="preserve">Distribution and withdrawals from partnerships </t>
  </si>
  <si>
    <t xml:space="preserve">Cash flow from financing activities </t>
  </si>
  <si>
    <t xml:space="preserve">Net change in cash and cash equivalents </t>
  </si>
  <si>
    <t xml:space="preserve">Cash and cash equivalents at the beginning of the year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</si>
  <si>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</si>
  <si>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</si>
  <si>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</si>
  <si>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</si>
  <si>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</si>
  <si>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</si>
  <si>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</si>
  <si>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</si>
  <si>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</si>
  <si>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</si>
  <si>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</si>
  <si>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</si>
  <si>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</si>
  <si>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</si>
  <si>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</si>
  <si>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</si>
  <si>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</si>
  <si>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</si>
  <si>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</si>
  <si>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</si>
  <si>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</si>
  <si>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</si>
  <si>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</si>
  <si>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</si>
  <si>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</si>
  <si>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</si>
  <si>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</si>
  <si>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</si>
  <si>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</si>
  <si>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</si>
  <si>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</si>
  <si>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</si>
  <si>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</si>
  <si>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</si>
  <si>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</si>
  <si>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</si>
  <si>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</si>
  <si>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</si>
  <si>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</si>
  <si>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</si>
  <si>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</si>
  <si>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</si>
  <si>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</si>
  <si>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</si>
  <si>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INTERNATIONAL + SPECIAL DIVISIONS</t>
  </si>
  <si>
    <t>SOUTH + EAST</t>
  </si>
  <si>
    <t>OTHER</t>
  </si>
  <si>
    <t>EBIT*</t>
  </si>
  <si>
    <t>CHECK</t>
  </si>
  <si>
    <t>EBT</t>
  </si>
  <si>
    <t>EBITDA</t>
  </si>
  <si>
    <t>* In order to reconcile the segment EBIT and EBT to the group EBIT and EBT acc. to IFRS add</t>
  </si>
  <si>
    <t>3M/2016</t>
  </si>
  <si>
    <t>% 2014-2015</t>
  </si>
  <si>
    <t>2015: % of balance sheet total</t>
  </si>
  <si>
    <t>Assets held for sale</t>
  </si>
  <si>
    <t>% 2015-2016</t>
  </si>
  <si>
    <t>% 3M/2016-3M/2017</t>
  </si>
  <si>
    <t>3M/2017</t>
  </si>
  <si>
    <t>3M/2017: % of balance sheet total</t>
  </si>
  <si>
    <t>2016: % of balance sheet total</t>
  </si>
  <si>
    <t>Russia</t>
  </si>
  <si>
    <t>Inflows from asset disposals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</si>
</sst>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0.0"/>
    <numFmt numFmtId="166" formatCode="_-* #,##0.00\ [$€]_-;\-* #,##0.00\ [$€]_-;_-* &quot;-&quot;??\ [$€]_-;_-@_-"/>
    <numFmt numFmtId="167" formatCode="#,##0.0_);\(#,##0.0\)"/>
    <numFmt numFmtId="168" formatCode="#,##0;[Red]&quot;-&quot;#,##0"/>
    <numFmt numFmtId="169" formatCode="&quot;$&quot;#,##0_);[Red]\(&quot;$&quot;#,##0\)"/>
    <numFmt numFmtId="170" formatCode="0.0\ &quot;&quot;"/>
  </numFmts>
  <fonts count="65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AvantGarde"/>
    </font>
    <font>
      <b/>
      <sz val="10"/>
      <name val="CG Times"/>
    </font>
    <font>
      <b/>
      <sz val="8"/>
      <name val="CG Times"/>
    </font>
    <font>
      <sz val="10"/>
      <name val="Helv"/>
    </font>
    <font>
      <sz val="9"/>
      <name val="Futura UBS Bk"/>
      <family val="2"/>
    </font>
    <font>
      <sz val="10"/>
      <name val="MS Sans Serif"/>
      <family val="2"/>
    </font>
    <font>
      <sz val="10"/>
      <color indexed="14"/>
      <name val="Arial"/>
      <family val="2"/>
    </font>
    <font>
      <sz val="12"/>
      <name val="Times New Roman"/>
      <family val="1"/>
    </font>
    <font>
      <sz val="10"/>
      <name val="Arial CE"/>
      <charset val="238"/>
    </font>
    <font>
      <b/>
      <sz val="2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sz val="12"/>
      <name val="Bookman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</borders>
  <cellStyleXfs count="161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3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2" borderId="0" applyNumberFormat="0" applyBorder="0" applyAlignment="0" applyProtection="0"/>
    <xf numFmtId="0" fontId="17" fillId="33" borderId="20" applyNumberFormat="0" applyAlignment="0" applyProtection="0"/>
    <xf numFmtId="0" fontId="18" fillId="33" borderId="21" applyNumberFormat="0" applyAlignment="0" applyProtection="0"/>
    <xf numFmtId="0" fontId="19" fillId="20" borderId="21" applyNumberFormat="0" applyAlignment="0" applyProtection="0"/>
    <xf numFmtId="0" fontId="20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3" fillId="34" borderId="0" applyNumberFormat="0" applyBorder="0" applyAlignment="0" applyProtection="0"/>
    <xf numFmtId="0" fontId="15" fillId="35" borderId="23" applyNumberFormat="0" applyFont="0" applyAlignment="0" applyProtection="0"/>
    <xf numFmtId="0" fontId="24" fillId="16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24" applyNumberFormat="0" applyFill="0" applyAlignment="0" applyProtection="0"/>
    <xf numFmtId="0" fontId="27" fillId="0" borderId="25" applyNumberFormat="0" applyFill="0" applyAlignment="0" applyProtection="0"/>
    <xf numFmtId="0" fontId="28" fillId="0" borderId="26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30" fillId="0" borderId="0" applyNumberFormat="0" applyFill="0" applyBorder="0" applyAlignment="0" applyProtection="0"/>
    <xf numFmtId="0" fontId="31" fillId="36" borderId="28" applyNumberFormat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5" fontId="32" fillId="0" borderId="0" applyProtection="0"/>
    <xf numFmtId="0" fontId="5" fillId="0" borderId="0"/>
    <xf numFmtId="0" fontId="33" fillId="0" borderId="0" applyProtection="0"/>
    <xf numFmtId="0" fontId="34" fillId="0" borderId="0" applyProtection="0"/>
    <xf numFmtId="166" fontId="5" fillId="0" borderId="0" applyFont="0" applyFill="0" applyBorder="0" applyAlignment="0" applyProtection="0"/>
    <xf numFmtId="0" fontId="35" fillId="0" borderId="0" applyNumberFormat="0" applyFont="0" applyFill="0" applyBorder="0" applyAlignment="0"/>
    <xf numFmtId="0" fontId="5" fillId="0" borderId="0" applyNumberFormat="0" applyFill="0" applyBorder="0" applyAlignment="0"/>
    <xf numFmtId="167" fontId="36" fillId="37" borderId="1" applyNumberFormat="0" applyFont="0" applyBorder="0" applyAlignment="0"/>
    <xf numFmtId="168" fontId="37" fillId="0" borderId="0" applyFont="0" applyFill="0" applyBorder="0" applyAlignment="0" applyProtection="0"/>
    <xf numFmtId="3" fontId="38" fillId="0" borderId="9" applyNumberFormat="0" applyFill="0" applyBorder="0" applyAlignment="0">
      <protection locked="0"/>
    </xf>
    <xf numFmtId="0" fontId="39" fillId="0" borderId="0"/>
    <xf numFmtId="0" fontId="40" fillId="0" borderId="0"/>
    <xf numFmtId="0" fontId="5" fillId="0" borderId="29" applyNumberFormat="0" applyFont="0" applyFill="0" applyAlignment="0" applyProtection="0"/>
    <xf numFmtId="0" fontId="5" fillId="0" borderId="30" applyNumberFormat="0" applyFont="0" applyFill="0" applyAlignment="0" applyProtection="0"/>
    <xf numFmtId="0" fontId="5" fillId="0" borderId="31" applyNumberFormat="0" applyFont="0" applyFill="0" applyAlignment="0" applyProtection="0"/>
    <xf numFmtId="0" fontId="5" fillId="38" borderId="0" applyNumberFormat="0" applyFont="0" applyBorder="0" applyAlignment="0" applyProtection="0"/>
    <xf numFmtId="0" fontId="41" fillId="0" borderId="0">
      <protection locked="0"/>
    </xf>
    <xf numFmtId="9" fontId="42" fillId="0" borderId="0">
      <protection locked="0"/>
    </xf>
    <xf numFmtId="9" fontId="43" fillId="0" borderId="0">
      <protection locked="0"/>
    </xf>
    <xf numFmtId="169" fontId="37" fillId="0" borderId="0" applyFont="0" applyFill="0" applyBorder="0" applyAlignment="0" applyProtection="0"/>
    <xf numFmtId="170" fontId="44" fillId="0" borderId="32" applyFont="0" applyFill="0" applyBorder="0" applyProtection="0">
      <alignment horizontal="right"/>
    </xf>
    <xf numFmtId="0" fontId="14" fillId="0" borderId="33" applyNumberFormat="0" applyFont="0" applyFill="0" applyBorder="0" applyProtection="0">
      <alignment horizontal="centerContinuous"/>
    </xf>
    <xf numFmtId="0" fontId="5" fillId="0" borderId="0"/>
    <xf numFmtId="9" fontId="5" fillId="0" borderId="0" applyFont="0" applyFill="0" applyBorder="0" applyAlignment="0" applyProtection="0"/>
    <xf numFmtId="0" fontId="45" fillId="0" borderId="0"/>
    <xf numFmtId="0" fontId="46" fillId="0" borderId="0"/>
    <xf numFmtId="0" fontId="49" fillId="46" borderId="0" applyNumberFormat="0" applyBorder="0" applyAlignment="0" applyProtection="0"/>
    <xf numFmtId="0" fontId="49" fillId="50" borderId="0" applyNumberFormat="0" applyBorder="0" applyAlignment="0" applyProtection="0"/>
    <xf numFmtId="0" fontId="49" fillId="54" borderId="0" applyNumberFormat="0" applyBorder="0" applyAlignment="0" applyProtection="0"/>
    <xf numFmtId="0" fontId="49" fillId="58" borderId="0" applyNumberFormat="0" applyBorder="0" applyAlignment="0" applyProtection="0"/>
    <xf numFmtId="0" fontId="49" fillId="62" borderId="0" applyNumberFormat="0" applyBorder="0" applyAlignment="0" applyProtection="0"/>
    <xf numFmtId="0" fontId="49" fillId="66" borderId="0" applyNumberFormat="0" applyBorder="0" applyAlignment="0" applyProtection="0"/>
    <xf numFmtId="0" fontId="49" fillId="47" borderId="0" applyNumberFormat="0" applyBorder="0" applyAlignment="0" applyProtection="0"/>
    <xf numFmtId="0" fontId="49" fillId="51" borderId="0" applyNumberFormat="0" applyBorder="0" applyAlignment="0" applyProtection="0"/>
    <xf numFmtId="0" fontId="49" fillId="55" borderId="0" applyNumberFormat="0" applyBorder="0" applyAlignment="0" applyProtection="0"/>
    <xf numFmtId="0" fontId="49" fillId="59" borderId="0" applyNumberFormat="0" applyBorder="0" applyAlignment="0" applyProtection="0"/>
    <xf numFmtId="0" fontId="49" fillId="63" borderId="0" applyNumberFormat="0" applyBorder="0" applyAlignment="0" applyProtection="0"/>
    <xf numFmtId="0" fontId="49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50" fillId="45" borderId="0" applyNumberFormat="0" applyBorder="0" applyAlignment="0" applyProtection="0"/>
    <xf numFmtId="0" fontId="50" fillId="49" borderId="0" applyNumberFormat="0" applyBorder="0" applyAlignment="0" applyProtection="0"/>
    <xf numFmtId="0" fontId="50" fillId="53" borderId="0" applyNumberFormat="0" applyBorder="0" applyAlignment="0" applyProtection="0"/>
    <xf numFmtId="0" fontId="50" fillId="57" borderId="0" applyNumberFormat="0" applyBorder="0" applyAlignment="0" applyProtection="0"/>
    <xf numFmtId="0" fontId="50" fillId="61" borderId="0" applyNumberFormat="0" applyBorder="0" applyAlignment="0" applyProtection="0"/>
    <xf numFmtId="0" fontId="50" fillId="65" borderId="0" applyNumberFormat="0" applyBorder="0" applyAlignment="0" applyProtection="0"/>
    <xf numFmtId="0" fontId="51" fillId="40" borderId="0" applyNumberFormat="0" applyBorder="0" applyAlignment="0" applyProtection="0"/>
    <xf numFmtId="0" fontId="52" fillId="42" borderId="37" applyNumberFormat="0" applyAlignment="0" applyProtection="0"/>
    <xf numFmtId="0" fontId="53" fillId="43" borderId="40" applyNumberFormat="0" applyAlignment="0" applyProtection="0"/>
    <xf numFmtId="0" fontId="55" fillId="0" borderId="0" applyNumberFormat="0" applyFill="0" applyBorder="0" applyAlignment="0" applyProtection="0"/>
    <xf numFmtId="0" fontId="56" fillId="39" borderId="0" applyNumberFormat="0" applyBorder="0" applyAlignment="0" applyProtection="0"/>
    <xf numFmtId="0" fontId="57" fillId="0" borderId="34" applyNumberFormat="0" applyFill="0" applyAlignment="0" applyProtection="0"/>
    <xf numFmtId="0" fontId="58" fillId="0" borderId="35" applyNumberFormat="0" applyFill="0" applyAlignment="0" applyProtection="0"/>
    <xf numFmtId="0" fontId="59" fillId="0" borderId="36" applyNumberFormat="0" applyFill="0" applyAlignment="0" applyProtection="0"/>
    <xf numFmtId="0" fontId="59" fillId="0" borderId="0" applyNumberFormat="0" applyFill="0" applyBorder="0" applyAlignment="0" applyProtection="0"/>
    <xf numFmtId="0" fontId="60" fillId="41" borderId="37" applyNumberFormat="0" applyAlignment="0" applyProtection="0"/>
    <xf numFmtId="0" fontId="61" fillId="0" borderId="39" applyNumberFormat="0" applyFill="0" applyAlignment="0" applyProtection="0"/>
    <xf numFmtId="0" fontId="54" fillId="44" borderId="41" applyNumberFormat="0" applyFont="0" applyAlignment="0" applyProtection="0"/>
    <xf numFmtId="0" fontId="62" fillId="42" borderId="38" applyNumberFormat="0" applyAlignment="0" applyProtection="0"/>
    <xf numFmtId="0" fontId="47" fillId="0" borderId="0" applyNumberFormat="0" applyFill="0" applyBorder="0" applyAlignment="0" applyProtection="0"/>
    <xf numFmtId="0" fontId="63" fillId="0" borderId="42" applyNumberFormat="0" applyFill="0" applyAlignment="0" applyProtection="0"/>
    <xf numFmtId="0" fontId="64" fillId="0" borderId="0" applyNumberFormat="0" applyFill="0" applyBorder="0" applyAlignment="0" applyProtection="0"/>
    <xf numFmtId="0" fontId="48" fillId="0" borderId="0"/>
    <xf numFmtId="43" fontId="48" fillId="0" borderId="0" applyFon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/>
    <xf numFmtId="0" fontId="48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564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9" fontId="7" fillId="4" borderId="2" xfId="1" applyFont="1" applyFill="1" applyBorder="1"/>
    <xf numFmtId="4" fontId="7" fillId="4" borderId="1" xfId="0" applyNumberFormat="1" applyFont="1" applyFill="1" applyBorder="1" applyAlignment="1">
      <alignment horizontal="right" wrapText="1"/>
    </xf>
    <xf numFmtId="9" fontId="7" fillId="4" borderId="1" xfId="1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wrapText="1"/>
    </xf>
    <xf numFmtId="9" fontId="7" fillId="4" borderId="3" xfId="1" applyNumberFormat="1" applyFont="1" applyFill="1" applyBorder="1" applyAlignment="1">
      <alignment horizontal="right" wrapText="1"/>
    </xf>
    <xf numFmtId="9" fontId="7" fillId="3" borderId="1" xfId="1" applyFont="1" applyFill="1" applyBorder="1" applyAlignment="1">
      <alignment wrapText="1"/>
    </xf>
    <xf numFmtId="4" fontId="7" fillId="4" borderId="1" xfId="0" applyNumberFormat="1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9" fontId="8" fillId="4" borderId="2" xfId="1" applyFont="1" applyFill="1" applyBorder="1"/>
    <xf numFmtId="9" fontId="8" fillId="4" borderId="1" xfId="1" applyNumberFormat="1" applyFont="1" applyFill="1" applyBorder="1" applyAlignment="1">
      <alignment horizontal="right" wrapText="1"/>
    </xf>
    <xf numFmtId="9" fontId="8" fillId="4" borderId="3" xfId="1" applyNumberFormat="1" applyFont="1" applyFill="1" applyBorder="1" applyAlignment="1">
      <alignment horizontal="right" wrapText="1"/>
    </xf>
    <xf numFmtId="0" fontId="8" fillId="3" borderId="1" xfId="0" applyFont="1" applyFill="1" applyBorder="1" applyAlignment="1">
      <alignment wrapText="1"/>
    </xf>
    <xf numFmtId="9" fontId="8" fillId="3" borderId="1" xfId="1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164" fontId="8" fillId="4" borderId="1" xfId="1" applyNumberFormat="1" applyFont="1" applyFill="1" applyBorder="1" applyAlignment="1">
      <alignment wrapText="1"/>
    </xf>
    <xf numFmtId="164" fontId="8" fillId="3" borderId="1" xfId="1" applyNumberFormat="1" applyFont="1" applyFill="1" applyBorder="1" applyAlignment="1">
      <alignment wrapText="1"/>
    </xf>
    <xf numFmtId="3" fontId="8" fillId="4" borderId="1" xfId="0" applyNumberFormat="1" applyFont="1" applyFill="1" applyBorder="1" applyAlignment="1">
      <alignment horizontal="right" wrapText="1"/>
    </xf>
    <xf numFmtId="0" fontId="7" fillId="4" borderId="4" xfId="0" applyFont="1" applyFill="1" applyBorder="1" applyAlignment="1">
      <alignment horizontal="right" wrapText="1"/>
    </xf>
    <xf numFmtId="164" fontId="8" fillId="5" borderId="1" xfId="1" applyNumberFormat="1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right" wrapText="1"/>
    </xf>
    <xf numFmtId="4" fontId="8" fillId="4" borderId="4" xfId="0" applyNumberFormat="1" applyFont="1" applyFill="1" applyBorder="1" applyAlignment="1">
      <alignment horizontal="right" wrapText="1"/>
    </xf>
    <xf numFmtId="9" fontId="8" fillId="4" borderId="1" xfId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4" fontId="8" fillId="0" borderId="4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3" fontId="8" fillId="4" borderId="2" xfId="0" applyNumberFormat="1" applyFont="1" applyFill="1" applyBorder="1"/>
    <xf numFmtId="1" fontId="8" fillId="4" borderId="2" xfId="0" applyNumberFormat="1" applyFont="1" applyFill="1" applyBorder="1"/>
    <xf numFmtId="3" fontId="8" fillId="4" borderId="10" xfId="0" applyNumberFormat="1" applyFont="1" applyFill="1" applyBorder="1"/>
    <xf numFmtId="3" fontId="8" fillId="0" borderId="1" xfId="0" applyNumberFormat="1" applyFont="1" applyBorder="1"/>
    <xf numFmtId="3" fontId="8" fillId="4" borderId="4" xfId="0" applyNumberFormat="1" applyFont="1" applyFill="1" applyBorder="1" applyAlignment="1">
      <alignment horizontal="right" wrapText="1"/>
    </xf>
    <xf numFmtId="1" fontId="8" fillId="4" borderId="4" xfId="0" applyNumberFormat="1" applyFont="1" applyFill="1" applyBorder="1" applyAlignment="1">
      <alignment horizontal="right" wrapText="1"/>
    </xf>
    <xf numFmtId="9" fontId="8" fillId="4" borderId="11" xfId="1" applyNumberFormat="1" applyFont="1" applyFill="1" applyBorder="1" applyAlignment="1">
      <alignment horizontal="right" wrapText="1"/>
    </xf>
    <xf numFmtId="9" fontId="8" fillId="4" borderId="12" xfId="1" applyNumberFormat="1" applyFont="1" applyFill="1" applyBorder="1" applyAlignment="1">
      <alignment horizontal="right" wrapText="1"/>
    </xf>
    <xf numFmtId="3" fontId="8" fillId="0" borderId="11" xfId="0" applyNumberFormat="1" applyFont="1" applyBorder="1"/>
    <xf numFmtId="3" fontId="8" fillId="4" borderId="1" xfId="0" applyNumberFormat="1" applyFont="1" applyFill="1" applyBorder="1"/>
    <xf numFmtId="1" fontId="8" fillId="4" borderId="1" xfId="0" applyNumberFormat="1" applyFont="1" applyFill="1" applyBorder="1"/>
    <xf numFmtId="3" fontId="8" fillId="4" borderId="4" xfId="0" applyNumberFormat="1" applyFont="1" applyFill="1" applyBorder="1"/>
    <xf numFmtId="1" fontId="8" fillId="4" borderId="4" xfId="0" applyNumberFormat="1" applyFont="1" applyFill="1" applyBorder="1"/>
    <xf numFmtId="3" fontId="7" fillId="4" borderId="4" xfId="0" applyNumberFormat="1" applyFont="1" applyFill="1" applyBorder="1" applyAlignment="1">
      <alignment horizontal="right" wrapText="1"/>
    </xf>
    <xf numFmtId="3" fontId="7" fillId="4" borderId="1" xfId="0" applyNumberFormat="1" applyFont="1" applyFill="1" applyBorder="1" applyAlignment="1">
      <alignment horizontal="right" wrapText="1"/>
    </xf>
    <xf numFmtId="3" fontId="7" fillId="0" borderId="13" xfId="0" applyNumberFormat="1" applyFont="1" applyBorder="1"/>
    <xf numFmtId="3" fontId="7" fillId="0" borderId="14" xfId="0" applyNumberFormat="1" applyFont="1" applyBorder="1"/>
    <xf numFmtId="3" fontId="8" fillId="5" borderId="14" xfId="0" applyNumberFormat="1" applyFont="1" applyFill="1" applyBorder="1"/>
    <xf numFmtId="3" fontId="8" fillId="0" borderId="14" xfId="0" applyNumberFormat="1" applyFont="1" applyBorder="1"/>
    <xf numFmtId="3" fontId="8" fillId="4" borderId="8" xfId="0" applyNumberFormat="1" applyFont="1" applyFill="1" applyBorder="1" applyAlignment="1">
      <alignment horizontal="right" wrapText="1"/>
    </xf>
    <xf numFmtId="0" fontId="8" fillId="4" borderId="3" xfId="0" applyFont="1" applyFill="1" applyBorder="1" applyAlignment="1">
      <alignment horizontal="right" wrapText="1"/>
    </xf>
    <xf numFmtId="4" fontId="8" fillId="4" borderId="2" xfId="0" applyNumberFormat="1" applyFont="1" applyFill="1" applyBorder="1"/>
    <xf numFmtId="4" fontId="8" fillId="4" borderId="1" xfId="0" applyNumberFormat="1" applyFont="1" applyFill="1" applyBorder="1"/>
    <xf numFmtId="4" fontId="8" fillId="4" borderId="4" xfId="0" applyNumberFormat="1" applyFont="1" applyFill="1" applyBorder="1"/>
    <xf numFmtId="0" fontId="7" fillId="4" borderId="1" xfId="0" applyFont="1" applyFill="1" applyBorder="1"/>
    <xf numFmtId="4" fontId="7" fillId="4" borderId="1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7" fillId="7" borderId="1" xfId="0" applyFont="1" applyFill="1" applyBorder="1"/>
    <xf numFmtId="4" fontId="7" fillId="7" borderId="1" xfId="0" applyNumberFormat="1" applyFont="1" applyFill="1" applyBorder="1" applyAlignment="1">
      <alignment horizontal="right"/>
    </xf>
    <xf numFmtId="9" fontId="7" fillId="7" borderId="1" xfId="1" applyNumberFormat="1" applyFont="1" applyFill="1" applyBorder="1" applyAlignment="1">
      <alignment horizontal="right" wrapText="1"/>
    </xf>
    <xf numFmtId="9" fontId="7" fillId="7" borderId="1" xfId="1" applyNumberFormat="1" applyFont="1" applyFill="1" applyBorder="1" applyAlignment="1">
      <alignment horizontal="right"/>
    </xf>
    <xf numFmtId="0" fontId="7" fillId="6" borderId="1" xfId="0" applyFont="1" applyFill="1" applyBorder="1"/>
    <xf numFmtId="0" fontId="8" fillId="7" borderId="1" xfId="0" applyFont="1" applyFill="1" applyBorder="1"/>
    <xf numFmtId="164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right"/>
    </xf>
    <xf numFmtId="0" fontId="7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wrapText="1"/>
    </xf>
    <xf numFmtId="3" fontId="8" fillId="7" borderId="2" xfId="0" applyNumberFormat="1" applyFont="1" applyFill="1" applyBorder="1"/>
    <xf numFmtId="9" fontId="8" fillId="7" borderId="1" xfId="1" applyNumberFormat="1" applyFont="1" applyFill="1" applyBorder="1" applyAlignment="1">
      <alignment horizontal="right" wrapText="1"/>
    </xf>
    <xf numFmtId="1" fontId="8" fillId="7" borderId="2" xfId="0" applyNumberFormat="1" applyFont="1" applyFill="1" applyBorder="1"/>
    <xf numFmtId="3" fontId="8" fillId="0" borderId="10" xfId="0" applyNumberFormat="1" applyFont="1" applyBorder="1"/>
    <xf numFmtId="3" fontId="8" fillId="7" borderId="4" xfId="0" applyNumberFormat="1" applyFont="1" applyFill="1" applyBorder="1" applyAlignment="1">
      <alignment horizontal="right" wrapText="1"/>
    </xf>
    <xf numFmtId="1" fontId="8" fillId="7" borderId="4" xfId="0" applyNumberFormat="1" applyFont="1" applyFill="1" applyBorder="1" applyAlignment="1">
      <alignment horizontal="right" wrapText="1"/>
    </xf>
    <xf numFmtId="0" fontId="8" fillId="7" borderId="1" xfId="0" applyFont="1" applyFill="1" applyBorder="1" applyAlignment="1">
      <alignment horizontal="right" wrapText="1"/>
    </xf>
    <xf numFmtId="9" fontId="8" fillId="7" borderId="11" xfId="1" applyNumberFormat="1" applyFont="1" applyFill="1" applyBorder="1" applyAlignment="1">
      <alignment horizontal="right" wrapText="1"/>
    </xf>
    <xf numFmtId="3" fontId="8" fillId="7" borderId="1" xfId="0" applyNumberFormat="1" applyFont="1" applyFill="1" applyBorder="1"/>
    <xf numFmtId="1" fontId="8" fillId="7" borderId="1" xfId="0" applyNumberFormat="1" applyFont="1" applyFill="1" applyBorder="1"/>
    <xf numFmtId="3" fontId="8" fillId="7" borderId="4" xfId="0" applyNumberFormat="1" applyFont="1" applyFill="1" applyBorder="1"/>
    <xf numFmtId="1" fontId="8" fillId="7" borderId="4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3" fontId="7" fillId="7" borderId="1" xfId="0" applyNumberFormat="1" applyFont="1" applyFill="1" applyBorder="1" applyAlignment="1">
      <alignment horizontal="right" wrapText="1"/>
    </xf>
    <xf numFmtId="0" fontId="11" fillId="7" borderId="1" xfId="0" applyFont="1" applyFill="1" applyBorder="1" applyAlignment="1">
      <alignment wrapText="1"/>
    </xf>
    <xf numFmtId="9" fontId="11" fillId="7" borderId="4" xfId="1" applyFont="1" applyFill="1" applyBorder="1" applyAlignment="1">
      <alignment horizontal="right" wrapText="1"/>
    </xf>
    <xf numFmtId="9" fontId="11" fillId="7" borderId="1" xfId="1" applyFont="1" applyFill="1" applyBorder="1" applyAlignment="1">
      <alignment horizontal="right" wrapText="1"/>
    </xf>
    <xf numFmtId="0" fontId="12" fillId="3" borderId="1" xfId="0" applyFont="1" applyFill="1" applyBorder="1" applyAlignment="1">
      <alignment wrapText="1"/>
    </xf>
    <xf numFmtId="0" fontId="12" fillId="4" borderId="1" xfId="0" applyFont="1" applyFill="1" applyBorder="1" applyAlignment="1">
      <alignment wrapText="1"/>
    </xf>
    <xf numFmtId="4" fontId="8" fillId="7" borderId="2" xfId="0" applyNumberFormat="1" applyFont="1" applyFill="1" applyBorder="1"/>
    <xf numFmtId="9" fontId="8" fillId="7" borderId="2" xfId="1" applyFont="1" applyFill="1" applyBorder="1"/>
    <xf numFmtId="4" fontId="8" fillId="7" borderId="4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8" fillId="7" borderId="4" xfId="0" applyNumberFormat="1" applyFont="1" applyFill="1" applyBorder="1"/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7" fillId="7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/>
    <xf numFmtId="0" fontId="8" fillId="8" borderId="1" xfId="0" applyFont="1" applyFill="1" applyBorder="1"/>
    <xf numFmtId="0" fontId="8" fillId="9" borderId="1" xfId="0" applyFont="1" applyFill="1" applyBorder="1" applyAlignment="1">
      <alignment horizontal="right"/>
    </xf>
    <xf numFmtId="0" fontId="7" fillId="10" borderId="1" xfId="0" applyFont="1" applyFill="1" applyBorder="1"/>
    <xf numFmtId="4" fontId="7" fillId="10" borderId="1" xfId="0" applyNumberFormat="1" applyFont="1" applyFill="1" applyBorder="1" applyAlignment="1">
      <alignment horizontal="right"/>
    </xf>
    <xf numFmtId="9" fontId="7" fillId="10" borderId="1" xfId="1" applyNumberFormat="1" applyFont="1" applyFill="1" applyBorder="1" applyAlignment="1">
      <alignment horizontal="right" wrapText="1"/>
    </xf>
    <xf numFmtId="9" fontId="7" fillId="10" borderId="1" xfId="1" applyNumberFormat="1" applyFont="1" applyFill="1" applyBorder="1" applyAlignment="1">
      <alignment horizontal="right"/>
    </xf>
    <xf numFmtId="0" fontId="7" fillId="8" borderId="1" xfId="0" applyFont="1" applyFill="1" applyBorder="1"/>
    <xf numFmtId="0" fontId="8" fillId="10" borderId="1" xfId="0" applyFont="1" applyFill="1" applyBorder="1"/>
    <xf numFmtId="164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0" fontId="8" fillId="10" borderId="1" xfId="0" applyFont="1" applyFill="1" applyBorder="1" applyAlignment="1">
      <alignment horizontal="right"/>
    </xf>
    <xf numFmtId="0" fontId="7" fillId="10" borderId="1" xfId="0" applyFont="1" applyFill="1" applyBorder="1" applyAlignment="1">
      <alignment horizontal="right" wrapText="1"/>
    </xf>
    <xf numFmtId="0" fontId="8" fillId="10" borderId="1" xfId="0" applyFont="1" applyFill="1" applyBorder="1" applyAlignment="1">
      <alignment wrapText="1"/>
    </xf>
    <xf numFmtId="3" fontId="8" fillId="10" borderId="2" xfId="0" applyNumberFormat="1" applyFont="1" applyFill="1" applyBorder="1"/>
    <xf numFmtId="9" fontId="8" fillId="10" borderId="1" xfId="1" applyNumberFormat="1" applyFont="1" applyFill="1" applyBorder="1" applyAlignment="1">
      <alignment horizontal="right" wrapText="1"/>
    </xf>
    <xf numFmtId="1" fontId="8" fillId="10" borderId="2" xfId="0" applyNumberFormat="1" applyFont="1" applyFill="1" applyBorder="1"/>
    <xf numFmtId="9" fontId="8" fillId="4" borderId="4" xfId="1" applyNumberFormat="1" applyFont="1" applyFill="1" applyBorder="1" applyAlignment="1">
      <alignment horizontal="right" wrapText="1"/>
    </xf>
    <xf numFmtId="3" fontId="8" fillId="10" borderId="4" xfId="0" applyNumberFormat="1" applyFont="1" applyFill="1" applyBorder="1" applyAlignment="1">
      <alignment horizontal="right" wrapText="1"/>
    </xf>
    <xf numFmtId="1" fontId="8" fillId="10" borderId="4" xfId="0" applyNumberFormat="1" applyFont="1" applyFill="1" applyBorder="1" applyAlignment="1">
      <alignment horizontal="right" wrapText="1"/>
    </xf>
    <xf numFmtId="0" fontId="8" fillId="10" borderId="1" xfId="0" applyFont="1" applyFill="1" applyBorder="1" applyAlignment="1">
      <alignment horizontal="right" wrapText="1"/>
    </xf>
    <xf numFmtId="9" fontId="8" fillId="10" borderId="11" xfId="1" applyNumberFormat="1" applyFont="1" applyFill="1" applyBorder="1" applyAlignment="1">
      <alignment horizontal="right" wrapText="1"/>
    </xf>
    <xf numFmtId="9" fontId="8" fillId="4" borderId="15" xfId="1" applyNumberFormat="1" applyFont="1" applyFill="1" applyBorder="1" applyAlignment="1">
      <alignment horizontal="right" wrapText="1"/>
    </xf>
    <xf numFmtId="3" fontId="8" fillId="10" borderId="1" xfId="0" applyNumberFormat="1" applyFont="1" applyFill="1" applyBorder="1"/>
    <xf numFmtId="1" fontId="8" fillId="10" borderId="1" xfId="0" applyNumberFormat="1" applyFont="1" applyFill="1" applyBorder="1"/>
    <xf numFmtId="3" fontId="8" fillId="10" borderId="4" xfId="0" applyNumberFormat="1" applyFont="1" applyFill="1" applyBorder="1"/>
    <xf numFmtId="1" fontId="8" fillId="10" borderId="4" xfId="0" applyNumberFormat="1" applyFont="1" applyFill="1" applyBorder="1"/>
    <xf numFmtId="0" fontId="7" fillId="10" borderId="1" xfId="0" applyFont="1" applyFill="1" applyBorder="1" applyAlignment="1">
      <alignment wrapText="1"/>
    </xf>
    <xf numFmtId="3" fontId="7" fillId="10" borderId="4" xfId="0" applyNumberFormat="1" applyFont="1" applyFill="1" applyBorder="1" applyAlignment="1">
      <alignment horizontal="right" wrapText="1"/>
    </xf>
    <xf numFmtId="3" fontId="7" fillId="10" borderId="1" xfId="0" applyNumberFormat="1" applyFont="1" applyFill="1" applyBorder="1" applyAlignment="1">
      <alignment horizontal="right" wrapText="1"/>
    </xf>
    <xf numFmtId="9" fontId="7" fillId="4" borderId="4" xfId="1" applyNumberFormat="1" applyFont="1" applyFill="1" applyBorder="1" applyAlignment="1">
      <alignment horizontal="right" wrapText="1"/>
    </xf>
    <xf numFmtId="0" fontId="11" fillId="10" borderId="1" xfId="0" applyFont="1" applyFill="1" applyBorder="1" applyAlignment="1">
      <alignment wrapText="1"/>
    </xf>
    <xf numFmtId="9" fontId="11" fillId="10" borderId="4" xfId="1" applyFont="1" applyFill="1" applyBorder="1" applyAlignment="1">
      <alignment horizontal="right" wrapText="1"/>
    </xf>
    <xf numFmtId="9" fontId="11" fillId="10" borderId="1" xfId="1" applyFont="1" applyFill="1" applyBorder="1" applyAlignment="1">
      <alignment horizontal="right" wrapText="1"/>
    </xf>
    <xf numFmtId="9" fontId="11" fillId="4" borderId="4" xfId="1" applyNumberFormat="1" applyFont="1" applyFill="1" applyBorder="1" applyAlignment="1">
      <alignment horizontal="right" wrapText="1"/>
    </xf>
    <xf numFmtId="3" fontId="11" fillId="4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4" fontId="8" fillId="10" borderId="2" xfId="0" applyNumberFormat="1" applyFont="1" applyFill="1" applyBorder="1"/>
    <xf numFmtId="9" fontId="8" fillId="10" borderId="2" xfId="1" applyFont="1" applyFill="1" applyBorder="1"/>
    <xf numFmtId="4" fontId="8" fillId="10" borderId="4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8" fillId="10" borderId="4" xfId="0" applyNumberFormat="1" applyFont="1" applyFill="1" applyBorder="1"/>
    <xf numFmtId="4" fontId="7" fillId="10" borderId="1" xfId="0" applyNumberFormat="1" applyFont="1" applyFill="1" applyBorder="1"/>
    <xf numFmtId="4" fontId="7" fillId="10" borderId="1" xfId="0" applyNumberFormat="1" applyFont="1" applyFill="1" applyBorder="1" applyAlignment="1">
      <alignment wrapText="1"/>
    </xf>
    <xf numFmtId="4" fontId="7" fillId="10" borderId="1" xfId="0" applyNumberFormat="1" applyFont="1" applyFill="1" applyBorder="1" applyAlignment="1">
      <alignment horizontal="right" wrapText="1"/>
    </xf>
    <xf numFmtId="0" fontId="8" fillId="8" borderId="1" xfId="0" applyFont="1" applyFill="1" applyBorder="1" applyAlignment="1">
      <alignment horizontal="right"/>
    </xf>
    <xf numFmtId="0" fontId="6" fillId="2" borderId="1" xfId="0" applyFont="1" applyFill="1" applyBorder="1"/>
    <xf numFmtId="0" fontId="8" fillId="9" borderId="1" xfId="0" applyFont="1" applyFill="1" applyBorder="1"/>
    <xf numFmtId="0" fontId="7" fillId="11" borderId="1" xfId="0" applyFont="1" applyFill="1" applyBorder="1"/>
    <xf numFmtId="4" fontId="7" fillId="11" borderId="1" xfId="0" applyNumberFormat="1" applyFont="1" applyFill="1" applyBorder="1" applyAlignment="1">
      <alignment horizontal="right"/>
    </xf>
    <xf numFmtId="9" fontId="7" fillId="11" borderId="1" xfId="1" applyNumberFormat="1" applyFont="1" applyFill="1" applyBorder="1" applyAlignment="1">
      <alignment horizontal="right" wrapText="1"/>
    </xf>
    <xf numFmtId="9" fontId="7" fillId="11" borderId="1" xfId="1" applyNumberFormat="1" applyFont="1" applyFill="1" applyBorder="1" applyAlignment="1">
      <alignment horizontal="right"/>
    </xf>
    <xf numFmtId="0" fontId="7" fillId="9" borderId="1" xfId="0" applyFont="1" applyFill="1" applyBorder="1"/>
    <xf numFmtId="0" fontId="8" fillId="11" borderId="1" xfId="0" applyFont="1" applyFill="1" applyBorder="1"/>
    <xf numFmtId="164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0" fontId="8" fillId="11" borderId="1" xfId="0" applyFont="1" applyFill="1" applyBorder="1" applyAlignment="1">
      <alignment horizontal="right"/>
    </xf>
    <xf numFmtId="0" fontId="7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horizontal="right" wrapText="1"/>
    </xf>
    <xf numFmtId="0" fontId="8" fillId="11" borderId="1" xfId="0" applyFont="1" applyFill="1" applyBorder="1" applyAlignment="1">
      <alignment wrapText="1"/>
    </xf>
    <xf numFmtId="3" fontId="8" fillId="11" borderId="2" xfId="0" applyNumberFormat="1" applyFont="1" applyFill="1" applyBorder="1"/>
    <xf numFmtId="9" fontId="8" fillId="11" borderId="1" xfId="1" applyNumberFormat="1" applyFont="1" applyFill="1" applyBorder="1" applyAlignment="1">
      <alignment horizontal="right" wrapText="1"/>
    </xf>
    <xf numFmtId="1" fontId="8" fillId="11" borderId="2" xfId="0" applyNumberFormat="1" applyFont="1" applyFill="1" applyBorder="1"/>
    <xf numFmtId="3" fontId="8" fillId="11" borderId="4" xfId="0" applyNumberFormat="1" applyFont="1" applyFill="1" applyBorder="1" applyAlignment="1">
      <alignment horizontal="right" wrapText="1"/>
    </xf>
    <xf numFmtId="1" fontId="8" fillId="11" borderId="4" xfId="0" applyNumberFormat="1" applyFont="1" applyFill="1" applyBorder="1" applyAlignment="1">
      <alignment horizontal="right" wrapText="1"/>
    </xf>
    <xf numFmtId="0" fontId="8" fillId="11" borderId="1" xfId="0" applyFont="1" applyFill="1" applyBorder="1" applyAlignment="1">
      <alignment horizontal="right" wrapText="1"/>
    </xf>
    <xf numFmtId="9" fontId="8" fillId="11" borderId="11" xfId="1" applyNumberFormat="1" applyFont="1" applyFill="1" applyBorder="1" applyAlignment="1">
      <alignment horizontal="right" wrapText="1"/>
    </xf>
    <xf numFmtId="3" fontId="8" fillId="11" borderId="1" xfId="0" applyNumberFormat="1" applyFont="1" applyFill="1" applyBorder="1"/>
    <xf numFmtId="1" fontId="8" fillId="11" borderId="1" xfId="0" applyNumberFormat="1" applyFont="1" applyFill="1" applyBorder="1"/>
    <xf numFmtId="3" fontId="8" fillId="11" borderId="4" xfId="0" applyNumberFormat="1" applyFont="1" applyFill="1" applyBorder="1"/>
    <xf numFmtId="1" fontId="8" fillId="11" borderId="4" xfId="0" applyNumberFormat="1" applyFont="1" applyFill="1" applyBorder="1"/>
    <xf numFmtId="3" fontId="7" fillId="11" borderId="4" xfId="0" applyNumberFormat="1" applyFont="1" applyFill="1" applyBorder="1" applyAlignment="1">
      <alignment horizontal="right" wrapText="1"/>
    </xf>
    <xf numFmtId="3" fontId="7" fillId="11" borderId="1" xfId="0" applyNumberFormat="1" applyFont="1" applyFill="1" applyBorder="1" applyAlignment="1">
      <alignment horizontal="right" wrapText="1"/>
    </xf>
    <xf numFmtId="0" fontId="11" fillId="11" borderId="1" xfId="0" applyFont="1" applyFill="1" applyBorder="1" applyAlignment="1">
      <alignment wrapText="1"/>
    </xf>
    <xf numFmtId="9" fontId="11" fillId="11" borderId="4" xfId="1" applyFont="1" applyFill="1" applyBorder="1" applyAlignment="1">
      <alignment horizontal="right" wrapText="1"/>
    </xf>
    <xf numFmtId="9" fontId="11" fillId="11" borderId="1" xfId="1" applyFont="1" applyFill="1" applyBorder="1" applyAlignment="1">
      <alignment horizontal="right" wrapText="1"/>
    </xf>
    <xf numFmtId="4" fontId="8" fillId="11" borderId="2" xfId="0" applyNumberFormat="1" applyFont="1" applyFill="1" applyBorder="1"/>
    <xf numFmtId="9" fontId="8" fillId="11" borderId="2" xfId="1" applyFont="1" applyFill="1" applyBorder="1"/>
    <xf numFmtId="4" fontId="8" fillId="11" borderId="4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4" fontId="8" fillId="11" borderId="4" xfId="0" applyNumberFormat="1" applyFont="1" applyFill="1" applyBorder="1"/>
    <xf numFmtId="4" fontId="7" fillId="11" borderId="1" xfId="0" applyNumberFormat="1" applyFont="1" applyFill="1" applyBorder="1"/>
    <xf numFmtId="4" fontId="7" fillId="11" borderId="1" xfId="0" applyNumberFormat="1" applyFont="1" applyFill="1" applyBorder="1" applyAlignment="1">
      <alignment wrapText="1"/>
    </xf>
    <xf numFmtId="4" fontId="7" fillId="11" borderId="1" xfId="0" applyNumberFormat="1" applyFont="1" applyFill="1" applyBorder="1" applyAlignment="1">
      <alignment horizontal="right" wrapText="1"/>
    </xf>
    <xf numFmtId="0" fontId="8" fillId="12" borderId="1" xfId="0" applyFont="1" applyFill="1" applyBorder="1"/>
    <xf numFmtId="0" fontId="8" fillId="12" borderId="1" xfId="0" applyFont="1" applyFill="1" applyBorder="1" applyAlignment="1">
      <alignment horizontal="right"/>
    </xf>
    <xf numFmtId="0" fontId="7" fillId="13" borderId="1" xfId="0" applyFont="1" applyFill="1" applyBorder="1"/>
    <xf numFmtId="4" fontId="7" fillId="13" borderId="1" xfId="0" applyNumberFormat="1" applyFont="1" applyFill="1" applyBorder="1" applyAlignment="1">
      <alignment horizontal="right"/>
    </xf>
    <xf numFmtId="9" fontId="7" fillId="13" borderId="1" xfId="1" applyNumberFormat="1" applyFont="1" applyFill="1" applyBorder="1" applyAlignment="1">
      <alignment horizontal="right" wrapText="1"/>
    </xf>
    <xf numFmtId="9" fontId="7" fillId="13" borderId="1" xfId="1" applyNumberFormat="1" applyFont="1" applyFill="1" applyBorder="1" applyAlignment="1">
      <alignment horizontal="right"/>
    </xf>
    <xf numFmtId="0" fontId="7" fillId="8" borderId="4" xfId="0" applyFont="1" applyFill="1" applyBorder="1"/>
    <xf numFmtId="9" fontId="7" fillId="8" borderId="1" xfId="1" applyFont="1" applyFill="1" applyBorder="1"/>
    <xf numFmtId="0" fontId="8" fillId="13" borderId="1" xfId="0" applyFont="1" applyFill="1" applyBorder="1"/>
    <xf numFmtId="164" fontId="8" fillId="13" borderId="1" xfId="1" applyNumberFormat="1" applyFont="1" applyFill="1" applyBorder="1" applyAlignment="1">
      <alignment horizontal="right"/>
    </xf>
    <xf numFmtId="9" fontId="8" fillId="13" borderId="1" xfId="1" applyNumberFormat="1" applyFont="1" applyFill="1" applyBorder="1" applyAlignment="1">
      <alignment horizontal="right"/>
    </xf>
    <xf numFmtId="0" fontId="8" fillId="8" borderId="4" xfId="0" applyFont="1" applyFill="1" applyBorder="1"/>
    <xf numFmtId="9" fontId="8" fillId="13" borderId="1" xfId="1" applyNumberFormat="1" applyFont="1" applyFill="1" applyBorder="1" applyAlignment="1">
      <alignment horizontal="right" wrapText="1"/>
    </xf>
    <xf numFmtId="2" fontId="8" fillId="13" borderId="1" xfId="0" applyNumberFormat="1" applyFont="1" applyFill="1" applyBorder="1" applyAlignment="1">
      <alignment horizontal="right" vertical="center" wrapText="1"/>
    </xf>
    <xf numFmtId="0" fontId="11" fillId="8" borderId="4" xfId="0" applyFont="1" applyFill="1" applyBorder="1" applyAlignment="1">
      <alignment vertical="center"/>
    </xf>
    <xf numFmtId="0" fontId="11" fillId="8" borderId="1" xfId="0" applyFont="1" applyFill="1" applyBorder="1" applyAlignment="1">
      <alignment vertical="center"/>
    </xf>
    <xf numFmtId="164" fontId="8" fillId="13" borderId="3" xfId="1" applyNumberFormat="1" applyFont="1" applyFill="1" applyBorder="1" applyAlignment="1">
      <alignment horizontal="right"/>
    </xf>
    <xf numFmtId="164" fontId="8" fillId="13" borderId="16" xfId="1" applyNumberFormat="1" applyFont="1" applyFill="1" applyBorder="1" applyAlignment="1">
      <alignment horizontal="right"/>
    </xf>
    <xf numFmtId="0" fontId="8" fillId="13" borderId="1" xfId="0" applyFont="1" applyFill="1" applyBorder="1" applyAlignment="1">
      <alignment horizontal="right"/>
    </xf>
    <xf numFmtId="0" fontId="7" fillId="13" borderId="1" xfId="0" applyFont="1" applyFill="1" applyBorder="1" applyAlignment="1">
      <alignment horizontal="right" wrapText="1"/>
    </xf>
    <xf numFmtId="0" fontId="8" fillId="13" borderId="1" xfId="0" applyFont="1" applyFill="1" applyBorder="1" applyAlignment="1">
      <alignment wrapText="1"/>
    </xf>
    <xf numFmtId="3" fontId="8" fillId="13" borderId="2" xfId="0" applyNumberFormat="1" applyFont="1" applyFill="1" applyBorder="1"/>
    <xf numFmtId="1" fontId="8" fillId="13" borderId="2" xfId="0" applyNumberFormat="1" applyFont="1" applyFill="1" applyBorder="1"/>
    <xf numFmtId="3" fontId="8" fillId="13" borderId="4" xfId="0" applyNumberFormat="1" applyFont="1" applyFill="1" applyBorder="1" applyAlignment="1">
      <alignment horizontal="right" wrapText="1"/>
    </xf>
    <xf numFmtId="1" fontId="8" fillId="13" borderId="4" xfId="0" applyNumberFormat="1" applyFont="1" applyFill="1" applyBorder="1" applyAlignment="1">
      <alignment horizontal="right" wrapText="1"/>
    </xf>
    <xf numFmtId="0" fontId="8" fillId="13" borderId="1" xfId="0" applyFont="1" applyFill="1" applyBorder="1" applyAlignment="1">
      <alignment horizontal="right" wrapText="1"/>
    </xf>
    <xf numFmtId="9" fontId="8" fillId="13" borderId="11" xfId="1" applyNumberFormat="1" applyFont="1" applyFill="1" applyBorder="1" applyAlignment="1">
      <alignment horizontal="right" wrapText="1"/>
    </xf>
    <xf numFmtId="3" fontId="8" fillId="13" borderId="1" xfId="0" applyNumberFormat="1" applyFont="1" applyFill="1" applyBorder="1"/>
    <xf numFmtId="1" fontId="8" fillId="13" borderId="1" xfId="0" applyNumberFormat="1" applyFont="1" applyFill="1" applyBorder="1"/>
    <xf numFmtId="3" fontId="8" fillId="13" borderId="4" xfId="0" applyNumberFormat="1" applyFont="1" applyFill="1" applyBorder="1"/>
    <xf numFmtId="1" fontId="8" fillId="13" borderId="4" xfId="0" applyNumberFormat="1" applyFont="1" applyFill="1" applyBorder="1"/>
    <xf numFmtId="0" fontId="7" fillId="13" borderId="1" xfId="0" applyFont="1" applyFill="1" applyBorder="1" applyAlignment="1">
      <alignment wrapText="1"/>
    </xf>
    <xf numFmtId="3" fontId="7" fillId="13" borderId="4" xfId="0" applyNumberFormat="1" applyFont="1" applyFill="1" applyBorder="1" applyAlignment="1">
      <alignment horizontal="right" wrapText="1"/>
    </xf>
    <xf numFmtId="3" fontId="7" fillId="13" borderId="1" xfId="0" applyNumberFormat="1" applyFont="1" applyFill="1" applyBorder="1" applyAlignment="1">
      <alignment horizontal="right" wrapText="1"/>
    </xf>
    <xf numFmtId="0" fontId="11" fillId="13" borderId="1" xfId="0" applyFont="1" applyFill="1" applyBorder="1" applyAlignment="1">
      <alignment wrapText="1"/>
    </xf>
    <xf numFmtId="9" fontId="11" fillId="13" borderId="4" xfId="1" applyFont="1" applyFill="1" applyBorder="1" applyAlignment="1">
      <alignment horizontal="right" wrapText="1"/>
    </xf>
    <xf numFmtId="9" fontId="11" fillId="13" borderId="1" xfId="1" applyFont="1" applyFill="1" applyBorder="1" applyAlignment="1">
      <alignment horizontal="right" wrapText="1"/>
    </xf>
    <xf numFmtId="9" fontId="11" fillId="4" borderId="3" xfId="1" applyNumberFormat="1" applyFont="1" applyFill="1" applyBorder="1" applyAlignment="1">
      <alignment horizontal="right" wrapText="1"/>
    </xf>
    <xf numFmtId="4" fontId="8" fillId="13" borderId="2" xfId="0" applyNumberFormat="1" applyFont="1" applyFill="1" applyBorder="1"/>
    <xf numFmtId="4" fontId="8" fillId="13" borderId="4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4" fontId="8" fillId="13" borderId="4" xfId="0" applyNumberFormat="1" applyFont="1" applyFill="1" applyBorder="1"/>
    <xf numFmtId="4" fontId="7" fillId="13" borderId="1" xfId="0" applyNumberFormat="1" applyFont="1" applyFill="1" applyBorder="1"/>
    <xf numFmtId="4" fontId="7" fillId="13" borderId="1" xfId="0" applyNumberFormat="1" applyFont="1" applyFill="1" applyBorder="1" applyAlignment="1">
      <alignment wrapText="1"/>
    </xf>
    <xf numFmtId="4" fontId="7" fillId="13" borderId="1" xfId="0" applyNumberFormat="1" applyFont="1" applyFill="1" applyBorder="1" applyAlignment="1">
      <alignment horizontal="right" wrapText="1"/>
    </xf>
    <xf numFmtId="9" fontId="7" fillId="7" borderId="2" xfId="1" applyFont="1" applyFill="1" applyBorder="1"/>
    <xf numFmtId="9" fontId="7" fillId="10" borderId="2" xfId="1" applyFont="1" applyFill="1" applyBorder="1"/>
    <xf numFmtId="9" fontId="7" fillId="11" borderId="2" xfId="1" applyFont="1" applyFill="1" applyBorder="1"/>
    <xf numFmtId="9" fontId="8" fillId="13" borderId="2" xfId="1" applyFont="1" applyFill="1" applyBorder="1"/>
    <xf numFmtId="9" fontId="7" fillId="13" borderId="2" xfId="1" applyFont="1" applyFill="1" applyBorder="1"/>
    <xf numFmtId="2" fontId="8" fillId="7" borderId="2" xfId="0" applyNumberFormat="1" applyFont="1" applyFill="1" applyBorder="1"/>
    <xf numFmtId="2" fontId="8" fillId="7" borderId="4" xfId="0" applyNumberFormat="1" applyFont="1" applyFill="1" applyBorder="1" applyAlignment="1">
      <alignment horizontal="right" wrapText="1"/>
    </xf>
    <xf numFmtId="2" fontId="8" fillId="7" borderId="1" xfId="0" applyNumberFormat="1" applyFont="1" applyFill="1" applyBorder="1"/>
    <xf numFmtId="9" fontId="8" fillId="4" borderId="10" xfId="1" applyNumberFormat="1" applyFont="1" applyFill="1" applyBorder="1"/>
    <xf numFmtId="9" fontId="8" fillId="5" borderId="1" xfId="1" applyNumberFormat="1" applyFont="1" applyFill="1" applyBorder="1" applyAlignment="1">
      <alignment horizontal="right" wrapText="1"/>
    </xf>
    <xf numFmtId="9" fontId="8" fillId="4" borderId="10" xfId="1" applyFont="1" applyFill="1" applyBorder="1"/>
    <xf numFmtId="4" fontId="8" fillId="4" borderId="10" xfId="0" applyNumberFormat="1" applyFont="1" applyFill="1" applyBorder="1"/>
    <xf numFmtId="0" fontId="8" fillId="5" borderId="1" xfId="0" applyFont="1" applyFill="1" applyBorder="1" applyAlignment="1">
      <alignment horizontal="right" wrapText="1"/>
    </xf>
    <xf numFmtId="9" fontId="7" fillId="8" borderId="4" xfId="1" applyNumberFormat="1" applyFont="1" applyFill="1" applyBorder="1"/>
    <xf numFmtId="4" fontId="8" fillId="3" borderId="1" xfId="0" applyNumberFormat="1" applyFont="1" applyFill="1" applyBorder="1" applyAlignment="1">
      <alignment wrapText="1"/>
    </xf>
    <xf numFmtId="4" fontId="8" fillId="4" borderId="15" xfId="0" applyNumberFormat="1" applyFont="1" applyFill="1" applyBorder="1" applyAlignment="1">
      <alignment horizontal="right" wrapText="1"/>
    </xf>
    <xf numFmtId="0" fontId="8" fillId="3" borderId="5" xfId="0" applyFont="1" applyFill="1" applyBorder="1" applyAlignment="1">
      <alignment horizontal="right" wrapText="1"/>
    </xf>
    <xf numFmtId="9" fontId="8" fillId="4" borderId="18" xfId="1" applyFont="1" applyFill="1" applyBorder="1"/>
    <xf numFmtId="9" fontId="7" fillId="4" borderId="1" xfId="1" applyFont="1" applyFill="1" applyBorder="1"/>
    <xf numFmtId="4" fontId="8" fillId="7" borderId="15" xfId="0" applyNumberFormat="1" applyFont="1" applyFill="1" applyBorder="1" applyAlignment="1">
      <alignment horizontal="right" wrapText="1"/>
    </xf>
    <xf numFmtId="9" fontId="8" fillId="7" borderId="11" xfId="1" applyFont="1" applyFill="1" applyBorder="1"/>
    <xf numFmtId="4" fontId="8" fillId="11" borderId="15" xfId="0" applyNumberFormat="1" applyFont="1" applyFill="1" applyBorder="1" applyAlignment="1">
      <alignment horizontal="right" wrapText="1"/>
    </xf>
    <xf numFmtId="9" fontId="7" fillId="11" borderId="1" xfId="1" applyFont="1" applyFill="1" applyBorder="1"/>
    <xf numFmtId="4" fontId="8" fillId="10" borderId="15" xfId="0" applyNumberFormat="1" applyFont="1" applyFill="1" applyBorder="1" applyAlignment="1">
      <alignment horizontal="right" wrapText="1"/>
    </xf>
    <xf numFmtId="9" fontId="7" fillId="10" borderId="1" xfId="1" applyFont="1" applyFill="1" applyBorder="1"/>
    <xf numFmtId="4" fontId="8" fillId="13" borderId="1" xfId="0" applyNumberFormat="1" applyFont="1" applyFill="1" applyBorder="1" applyAlignment="1">
      <alignment horizontal="right" wrapText="1"/>
    </xf>
    <xf numFmtId="9" fontId="8" fillId="13" borderId="1" xfId="1" applyFont="1" applyFill="1" applyBorder="1"/>
    <xf numFmtId="9" fontId="7" fillId="13" borderId="1" xfId="1" applyFont="1" applyFill="1" applyBorder="1"/>
    <xf numFmtId="9" fontId="7" fillId="5" borderId="1" xfId="1" applyNumberFormat="1" applyFont="1" applyFill="1" applyBorder="1" applyAlignment="1">
      <alignment horizontal="right" wrapText="1"/>
    </xf>
    <xf numFmtId="9" fontId="8" fillId="10" borderId="2" xfId="1" applyFont="1" applyFill="1" applyBorder="1" applyAlignment="1">
      <alignment horizontal="right"/>
    </xf>
    <xf numFmtId="3" fontId="8" fillId="5" borderId="2" xfId="0" applyNumberFormat="1" applyFont="1" applyFill="1" applyBorder="1"/>
    <xf numFmtId="4" fontId="8" fillId="13" borderId="1" xfId="0" applyNumberFormat="1" applyFont="1" applyFill="1" applyBorder="1" applyAlignment="1">
      <alignment horizontal="right"/>
    </xf>
    <xf numFmtId="0" fontId="8" fillId="4" borderId="8" xfId="0" applyFont="1" applyFill="1" applyBorder="1" applyAlignment="1">
      <alignment horizontal="right" wrapText="1"/>
    </xf>
    <xf numFmtId="4" fontId="8" fillId="0" borderId="4" xfId="0" applyNumberFormat="1" applyFont="1" applyFill="1" applyBorder="1"/>
    <xf numFmtId="4" fontId="7" fillId="0" borderId="1" xfId="0" applyNumberFormat="1" applyFont="1" applyFill="1" applyBorder="1" applyAlignment="1">
      <alignment wrapText="1"/>
    </xf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 applyAlignment="1">
      <alignment horizontal="right" vertical="center"/>
    </xf>
    <xf numFmtId="9" fontId="8" fillId="13" borderId="2" xfId="1" applyFont="1" applyFill="1" applyBorder="1" applyAlignment="1">
      <alignment horizontal="right" vertical="center"/>
    </xf>
    <xf numFmtId="9" fontId="8" fillId="13" borderId="1" xfId="1" applyNumberFormat="1" applyFont="1" applyFill="1" applyBorder="1" applyAlignment="1">
      <alignment horizontal="right" vertical="center"/>
    </xf>
    <xf numFmtId="9" fontId="8" fillId="13" borderId="2" xfId="1" applyFont="1" applyFill="1" applyBorder="1" applyAlignment="1">
      <alignment horizontal="right"/>
    </xf>
    <xf numFmtId="0" fontId="6" fillId="14" borderId="1" xfId="0" applyFont="1" applyFill="1" applyBorder="1" applyAlignment="1" applyProtection="1">
      <alignment horizontal="left" wrapText="1"/>
      <protection locked="0"/>
    </xf>
    <xf numFmtId="0" fontId="6" fillId="14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9" fontId="7" fillId="0" borderId="1" xfId="1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Protection="1"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wrapText="1"/>
      <protection locked="0"/>
    </xf>
    <xf numFmtId="9" fontId="8" fillId="0" borderId="1" xfId="1" applyNumberFormat="1" applyFont="1" applyFill="1" applyBorder="1" applyAlignment="1" applyProtection="1">
      <alignment horizontal="right" wrapText="1"/>
      <protection locked="0"/>
    </xf>
    <xf numFmtId="9" fontId="8" fillId="0" borderId="2" xfId="1" applyFont="1" applyFill="1" applyBorder="1" applyAlignment="1" applyProtection="1">
      <alignment horizontal="right"/>
      <protection locked="0"/>
    </xf>
    <xf numFmtId="9" fontId="8" fillId="0" borderId="2" xfId="1" applyFont="1" applyFill="1" applyBorder="1" applyProtection="1">
      <protection locked="0"/>
    </xf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164" fontId="8" fillId="0" borderId="1" xfId="1" applyNumberFormat="1" applyFont="1" applyFill="1" applyBorder="1" applyAlignment="1" applyProtection="1">
      <alignment wrapText="1"/>
      <protection locked="0"/>
    </xf>
    <xf numFmtId="164" fontId="8" fillId="0" borderId="1" xfId="1" applyNumberFormat="1" applyFont="1" applyFill="1" applyBorder="1" applyAlignment="1" applyProtection="1">
      <alignment horizontal="right"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9" fontId="7" fillId="0" borderId="4" xfId="1" applyFont="1" applyFill="1" applyBorder="1" applyAlignment="1" applyProtection="1">
      <alignment horizontal="right" wrapText="1"/>
      <protection locked="0"/>
    </xf>
    <xf numFmtId="3" fontId="8" fillId="0" borderId="4" xfId="0" applyNumberFormat="1" applyFont="1" applyFill="1" applyBorder="1" applyAlignment="1" applyProtection="1">
      <alignment horizontal="right" wrapText="1"/>
      <protection locked="0"/>
    </xf>
    <xf numFmtId="3" fontId="8" fillId="0" borderId="1" xfId="0" applyNumberFormat="1" applyFont="1" applyFill="1" applyBorder="1" applyAlignment="1" applyProtection="1">
      <alignment horizontal="right" wrapText="1"/>
      <protection locked="0"/>
    </xf>
    <xf numFmtId="0" fontId="7" fillId="0" borderId="4" xfId="0" applyFont="1" applyFill="1" applyBorder="1" applyAlignment="1" applyProtection="1">
      <alignment horizontal="right" wrapText="1"/>
      <protection locked="0"/>
    </xf>
    <xf numFmtId="4" fontId="8" fillId="0" borderId="1" xfId="0" quotePrefix="1" applyNumberFormat="1" applyFont="1" applyFill="1" applyBorder="1" applyAlignment="1" applyProtection="1">
      <alignment horizontal="right" wrapText="1"/>
      <protection locked="0"/>
    </xf>
    <xf numFmtId="9" fontId="8" fillId="0" borderId="1" xfId="1" quotePrefix="1" applyFont="1" applyFill="1" applyBorder="1" applyAlignment="1" applyProtection="1">
      <alignment horizontal="right" wrapText="1"/>
      <protection locked="0"/>
    </xf>
    <xf numFmtId="4" fontId="8" fillId="0" borderId="4" xfId="0" quotePrefix="1" applyNumberFormat="1" applyFont="1" applyFill="1" applyBorder="1" applyAlignment="1" applyProtection="1">
      <alignment horizontal="right" wrapText="1"/>
      <protection locked="0"/>
    </xf>
    <xf numFmtId="9" fontId="8" fillId="0" borderId="1" xfId="1" quotePrefix="1" applyNumberFormat="1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horizontal="right" wrapText="1"/>
      <protection locked="0"/>
    </xf>
    <xf numFmtId="164" fontId="8" fillId="0" borderId="4" xfId="1" applyNumberFormat="1" applyFont="1" applyFill="1" applyBorder="1" applyAlignment="1" applyProtection="1">
      <alignment horizontal="right" wrapText="1"/>
      <protection locked="0"/>
    </xf>
    <xf numFmtId="0" fontId="8" fillId="0" borderId="4" xfId="0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wrapText="1"/>
      <protection locked="0"/>
    </xf>
    <xf numFmtId="0" fontId="9" fillId="0" borderId="6" xfId="0" applyFont="1" applyFill="1" applyBorder="1" applyAlignment="1" applyProtection="1">
      <alignment wrapText="1"/>
      <protection locked="0"/>
    </xf>
    <xf numFmtId="0" fontId="9" fillId="0" borderId="9" xfId="0" applyFont="1" applyFill="1" applyBorder="1" applyAlignment="1" applyProtection="1">
      <alignment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4" fontId="7" fillId="0" borderId="6" xfId="0" applyNumberFormat="1" applyFont="1" applyFill="1" applyBorder="1" applyAlignment="1" applyProtection="1">
      <alignment horizontal="right" wrapText="1"/>
      <protection locked="0"/>
    </xf>
    <xf numFmtId="9" fontId="7" fillId="0" borderId="7" xfId="1" applyFont="1" applyFill="1" applyBorder="1" applyAlignment="1" applyProtection="1">
      <alignment horizontal="right" wrapText="1"/>
      <protection locked="0"/>
    </xf>
    <xf numFmtId="4" fontId="7" fillId="0" borderId="4" xfId="0" applyNumberFormat="1" applyFont="1" applyFill="1" applyBorder="1" applyAlignment="1" applyProtection="1">
      <alignment horizontal="right" wrapText="1"/>
      <protection locked="0"/>
    </xf>
    <xf numFmtId="9" fontId="8" fillId="0" borderId="7" xfId="1" applyFont="1" applyFill="1" applyBorder="1" applyAlignment="1" applyProtection="1">
      <alignment horizontal="right" wrapText="1"/>
      <protection locked="0"/>
    </xf>
    <xf numFmtId="4" fontId="8" fillId="0" borderId="4" xfId="0" applyNumberFormat="1" applyFont="1" applyFill="1" applyBorder="1" applyAlignment="1" applyProtection="1">
      <alignment horizontal="right" wrapText="1"/>
      <protection locked="0"/>
    </xf>
    <xf numFmtId="4" fontId="8" fillId="0" borderId="6" xfId="0" applyNumberFormat="1" applyFont="1" applyFill="1" applyBorder="1" applyAlignment="1" applyProtection="1">
      <alignment horizontal="right" wrapText="1"/>
      <protection locked="0"/>
    </xf>
    <xf numFmtId="9" fontId="8" fillId="0" borderId="4" xfId="1" applyFont="1" applyFill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wrapText="1"/>
      <protection locked="0"/>
    </xf>
    <xf numFmtId="164" fontId="8" fillId="0" borderId="4" xfId="1" quotePrefix="1" applyNumberFormat="1" applyFont="1" applyFill="1" applyBorder="1" applyAlignment="1" applyProtection="1">
      <alignment horizontal="right" wrapText="1"/>
      <protection locked="0"/>
    </xf>
    <xf numFmtId="164" fontId="8" fillId="0" borderId="1" xfId="1" quotePrefix="1" applyNumberFormat="1" applyFont="1" applyFill="1" applyBorder="1" applyAlignment="1" applyProtection="1">
      <alignment horizontal="right" wrapText="1"/>
      <protection locked="0"/>
    </xf>
    <xf numFmtId="4" fontId="7" fillId="0" borderId="4" xfId="0" applyNumberFormat="1" applyFont="1" applyFill="1" applyBorder="1" applyAlignment="1" applyProtection="1">
      <alignment wrapText="1"/>
      <protection locked="0"/>
    </xf>
    <xf numFmtId="9" fontId="7" fillId="0" borderId="19" xfId="1" applyFont="1" applyFill="1" applyBorder="1" applyProtection="1">
      <protection locked="0"/>
    </xf>
    <xf numFmtId="9" fontId="8" fillId="0" borderId="18" xfId="1" applyFont="1" applyFill="1" applyBorder="1" applyProtection="1">
      <protection locked="0"/>
    </xf>
    <xf numFmtId="2" fontId="8" fillId="0" borderId="4" xfId="0" applyNumberFormat="1" applyFont="1" applyFill="1" applyBorder="1" applyAlignment="1" applyProtection="1">
      <alignment horizontal="right" wrapText="1"/>
      <protection locked="0"/>
    </xf>
    <xf numFmtId="2" fontId="8" fillId="0" borderId="1" xfId="0" applyNumberFormat="1" applyFont="1" applyFill="1" applyBorder="1" applyAlignment="1" applyProtection="1">
      <alignment horizontal="right" wrapText="1"/>
      <protection locked="0"/>
    </xf>
    <xf numFmtId="164" fontId="7" fillId="0" borderId="4" xfId="1" applyNumberFormat="1" applyFont="1" applyFill="1" applyBorder="1" applyAlignment="1" applyProtection="1">
      <alignment horizontal="right" wrapText="1"/>
      <protection locked="0"/>
    </xf>
    <xf numFmtId="164" fontId="7" fillId="0" borderId="1" xfId="1" applyNumberFormat="1" applyFont="1" applyFill="1" applyBorder="1" applyAlignment="1" applyProtection="1">
      <alignment horizontal="right" wrapText="1"/>
      <protection locked="0"/>
    </xf>
    <xf numFmtId="9" fontId="8" fillId="11" borderId="2" xfId="1" applyFont="1" applyFill="1" applyBorder="1" applyAlignment="1">
      <alignment horizontal="right"/>
    </xf>
    <xf numFmtId="9" fontId="7" fillId="13" borderId="2" xfId="1" applyFont="1" applyFill="1" applyBorder="1" applyAlignment="1">
      <alignment horizontal="right"/>
    </xf>
    <xf numFmtId="9" fontId="7" fillId="0" borderId="54" xfId="1" applyFont="1" applyFill="1" applyBorder="1" applyAlignment="1" applyProtection="1">
      <alignment horizontal="right" wrapText="1"/>
      <protection locked="0"/>
    </xf>
    <xf numFmtId="9" fontId="7" fillId="0" borderId="53" xfId="1" applyFont="1" applyFill="1" applyBorder="1" applyAlignment="1" applyProtection="1">
      <alignment horizontal="right" wrapText="1"/>
      <protection locked="0"/>
    </xf>
    <xf numFmtId="4" fontId="8" fillId="4" borderId="4" xfId="0" applyNumberFormat="1" applyFont="1" applyFill="1" applyBorder="1" applyAlignment="1">
      <alignment horizontal="right" wrapText="1"/>
    </xf>
    <xf numFmtId="4" fontId="8" fillId="0" borderId="4" xfId="0" applyNumberFormat="1" applyFont="1" applyFill="1" applyBorder="1" applyAlignment="1">
      <alignment horizontal="right" wrapText="1"/>
    </xf>
    <xf numFmtId="3" fontId="8" fillId="4" borderId="4" xfId="0" applyNumberFormat="1" applyFont="1" applyFill="1" applyBorder="1" applyAlignment="1">
      <alignment horizontal="right" wrapText="1"/>
    </xf>
    <xf numFmtId="3" fontId="8" fillId="4" borderId="4" xfId="0" applyNumberFormat="1" applyFont="1" applyFill="1" applyBorder="1"/>
    <xf numFmtId="3" fontId="7" fillId="4" borderId="4" xfId="0" applyNumberFormat="1" applyFont="1" applyFill="1" applyBorder="1" applyAlignment="1">
      <alignment horizontal="right" wrapText="1"/>
    </xf>
    <xf numFmtId="4" fontId="8" fillId="4" borderId="4" xfId="0" applyNumberFormat="1" applyFont="1" applyFill="1" applyBorder="1"/>
    <xf numFmtId="3" fontId="8" fillId="7" borderId="4" xfId="0" applyNumberFormat="1" applyFont="1" applyFill="1" applyBorder="1" applyAlignment="1">
      <alignment horizontal="right" wrapText="1"/>
    </xf>
    <xf numFmtId="3" fontId="8" fillId="7" borderId="4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9" fontId="11" fillId="7" borderId="4" xfId="1" applyFont="1" applyFill="1" applyBorder="1" applyAlignment="1">
      <alignment horizontal="right" wrapText="1"/>
    </xf>
    <xf numFmtId="4" fontId="8" fillId="7" borderId="4" xfId="0" applyNumberFormat="1" applyFont="1" applyFill="1" applyBorder="1" applyAlignment="1">
      <alignment horizontal="right" wrapText="1"/>
    </xf>
    <xf numFmtId="4" fontId="8" fillId="7" borderId="4" xfId="0" applyNumberFormat="1" applyFont="1" applyFill="1" applyBorder="1"/>
    <xf numFmtId="3" fontId="8" fillId="10" borderId="4" xfId="0" applyNumberFormat="1" applyFont="1" applyFill="1" applyBorder="1" applyAlignment="1">
      <alignment horizontal="right" wrapText="1"/>
    </xf>
    <xf numFmtId="3" fontId="8" fillId="10" borderId="4" xfId="0" applyNumberFormat="1" applyFont="1" applyFill="1" applyBorder="1"/>
    <xf numFmtId="3" fontId="7" fillId="10" borderId="4" xfId="0" applyNumberFormat="1" applyFont="1" applyFill="1" applyBorder="1" applyAlignment="1">
      <alignment horizontal="right" wrapText="1"/>
    </xf>
    <xf numFmtId="9" fontId="11" fillId="10" borderId="4" xfId="1" applyFont="1" applyFill="1" applyBorder="1" applyAlignment="1">
      <alignment horizontal="right" wrapText="1"/>
    </xf>
    <xf numFmtId="4" fontId="8" fillId="10" borderId="4" xfId="0" applyNumberFormat="1" applyFont="1" applyFill="1" applyBorder="1" applyAlignment="1">
      <alignment horizontal="right" wrapText="1"/>
    </xf>
    <xf numFmtId="4" fontId="8" fillId="10" borderId="4" xfId="0" applyNumberFormat="1" applyFont="1" applyFill="1" applyBorder="1"/>
    <xf numFmtId="3" fontId="8" fillId="11" borderId="4" xfId="0" applyNumberFormat="1" applyFont="1" applyFill="1" applyBorder="1" applyAlignment="1">
      <alignment horizontal="right" wrapText="1"/>
    </xf>
    <xf numFmtId="4" fontId="8" fillId="11" borderId="4" xfId="0" applyNumberFormat="1" applyFont="1" applyFill="1" applyBorder="1" applyAlignment="1">
      <alignment horizontal="right" wrapText="1"/>
    </xf>
    <xf numFmtId="3" fontId="8" fillId="13" borderId="4" xfId="0" applyNumberFormat="1" applyFont="1" applyFill="1" applyBorder="1" applyAlignment="1">
      <alignment horizontal="right" wrapText="1"/>
    </xf>
    <xf numFmtId="3" fontId="8" fillId="13" borderId="4" xfId="0" applyNumberFormat="1" applyFont="1" applyFill="1" applyBorder="1"/>
    <xf numFmtId="3" fontId="7" fillId="13" borderId="4" xfId="0" applyNumberFormat="1" applyFont="1" applyFill="1" applyBorder="1" applyAlignment="1">
      <alignment horizontal="right" wrapText="1"/>
    </xf>
    <xf numFmtId="9" fontId="11" fillId="13" borderId="4" xfId="1" applyFont="1" applyFill="1" applyBorder="1" applyAlignment="1">
      <alignment horizontal="right" wrapText="1"/>
    </xf>
    <xf numFmtId="4" fontId="8" fillId="13" borderId="4" xfId="0" applyNumberFormat="1" applyFont="1" applyFill="1" applyBorder="1" applyAlignment="1">
      <alignment horizontal="right" wrapText="1"/>
    </xf>
    <xf numFmtId="4" fontId="8" fillId="13" borderId="4" xfId="0" applyNumberFormat="1" applyFont="1" applyFill="1" applyBorder="1"/>
    <xf numFmtId="4" fontId="8" fillId="0" borderId="4" xfId="0" applyNumberFormat="1" applyFont="1" applyFill="1" applyBorder="1"/>
    <xf numFmtId="9" fontId="7" fillId="0" borderId="4" xfId="1" applyFont="1" applyFill="1" applyBorder="1" applyAlignment="1" applyProtection="1">
      <alignment horizontal="right" wrapText="1"/>
      <protection locked="0"/>
    </xf>
    <xf numFmtId="3" fontId="8" fillId="0" borderId="4" xfId="0" applyNumberFormat="1" applyFont="1" applyFill="1" applyBorder="1" applyAlignment="1" applyProtection="1">
      <alignment horizontal="right" wrapText="1"/>
      <protection locked="0"/>
    </xf>
    <xf numFmtId="0" fontId="7" fillId="0" borderId="4" xfId="0" applyFont="1" applyFill="1" applyBorder="1" applyAlignment="1" applyProtection="1">
      <alignment horizontal="right" wrapText="1"/>
      <protection locked="0"/>
    </xf>
    <xf numFmtId="4" fontId="8" fillId="0" borderId="4" xfId="0" quotePrefix="1" applyNumberFormat="1" applyFont="1" applyFill="1" applyBorder="1" applyAlignment="1" applyProtection="1">
      <alignment horizontal="right" wrapText="1"/>
      <protection locked="0"/>
    </xf>
    <xf numFmtId="164" fontId="8" fillId="0" borderId="4" xfId="1" applyNumberFormat="1" applyFont="1" applyFill="1" applyBorder="1" applyAlignment="1" applyProtection="1">
      <alignment horizontal="right" wrapText="1"/>
      <protection locked="0"/>
    </xf>
    <xf numFmtId="4" fontId="7" fillId="0" borderId="4" xfId="0" applyNumberFormat="1" applyFont="1" applyFill="1" applyBorder="1" applyAlignment="1" applyProtection="1">
      <alignment horizontal="right" wrapText="1"/>
      <protection locked="0"/>
    </xf>
    <xf numFmtId="4" fontId="8" fillId="0" borderId="4" xfId="0" applyNumberFormat="1" applyFont="1" applyFill="1" applyBorder="1" applyAlignment="1" applyProtection="1">
      <alignment horizontal="right" wrapText="1"/>
      <protection locked="0"/>
    </xf>
    <xf numFmtId="4" fontId="7" fillId="0" borderId="4" xfId="0" applyNumberFormat="1" applyFont="1" applyFill="1" applyBorder="1" applyAlignment="1" applyProtection="1">
      <alignment wrapText="1"/>
      <protection locked="0"/>
    </xf>
    <xf numFmtId="164" fontId="7" fillId="0" borderId="4" xfId="1" applyNumberFormat="1" applyFont="1" applyFill="1" applyBorder="1" applyAlignment="1" applyProtection="1">
      <alignment horizontal="right" wrapText="1"/>
      <protection locked="0"/>
    </xf>
    <xf numFmtId="4" fontId="7" fillId="5" borderId="1" xfId="0" applyNumberFormat="1" applyFont="1" applyFill="1" applyBorder="1" applyAlignment="1" applyProtection="1">
      <alignment wrapText="1"/>
      <protection locked="0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Protection="1">
      <protection locked="0"/>
    </xf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164" fontId="8" fillId="0" borderId="1" xfId="1" applyNumberFormat="1" applyFont="1" applyFill="1" applyBorder="1" applyAlignment="1" applyProtection="1">
      <alignment horizontal="right" wrapText="1"/>
      <protection locked="0"/>
    </xf>
    <xf numFmtId="9" fontId="8" fillId="0" borderId="1" xfId="1" quotePrefix="1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wrapText="1"/>
      <protection locked="0"/>
    </xf>
    <xf numFmtId="4" fontId="8" fillId="5" borderId="1" xfId="0" applyNumberFormat="1" applyFont="1" applyFill="1" applyBorder="1" applyAlignment="1" applyProtection="1">
      <alignment wrapText="1"/>
      <protection locked="0"/>
    </xf>
    <xf numFmtId="4" fontId="8" fillId="5" borderId="1" xfId="0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Protection="1">
      <protection locked="0"/>
    </xf>
    <xf numFmtId="9" fontId="8" fillId="0" borderId="2" xfId="1" applyFont="1" applyFill="1" applyBorder="1" applyAlignment="1" applyProtection="1">
      <alignment horizontal="right"/>
      <protection locked="0"/>
    </xf>
    <xf numFmtId="9" fontId="8" fillId="0" borderId="2" xfId="1" applyFont="1" applyFill="1" applyBorder="1" applyProtection="1">
      <protection locked="0"/>
    </xf>
    <xf numFmtId="164" fontId="8" fillId="0" borderId="1" xfId="1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wrapText="1"/>
      <protection locked="0"/>
    </xf>
    <xf numFmtId="4" fontId="8" fillId="5" borderId="1" xfId="0" quotePrefix="1" applyNumberFormat="1" applyFont="1" applyFill="1" applyBorder="1" applyAlignment="1" applyProtection="1">
      <alignment horizontal="right" wrapText="1"/>
      <protection locked="0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Protection="1"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wrapText="1"/>
      <protection locked="0"/>
    </xf>
    <xf numFmtId="9" fontId="8" fillId="0" borderId="2" xfId="1" applyFont="1" applyFill="1" applyBorder="1" applyProtection="1">
      <protection locked="0"/>
    </xf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164" fontId="8" fillId="0" borderId="1" xfId="1" applyNumberFormat="1" applyFont="1" applyFill="1" applyBorder="1" applyAlignment="1" applyProtection="1">
      <alignment horizontal="right"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4" fontId="8" fillId="0" borderId="1" xfId="0" quotePrefix="1" applyNumberFormat="1" applyFont="1" applyFill="1" applyBorder="1" applyAlignment="1" applyProtection="1">
      <alignment horizontal="right" wrapText="1"/>
      <protection locked="0"/>
    </xf>
    <xf numFmtId="164" fontId="8" fillId="5" borderId="44" xfId="1" applyNumberFormat="1" applyFont="1" applyFill="1" applyBorder="1" applyAlignment="1" applyProtection="1">
      <alignment horizontal="right" wrapText="1"/>
      <protection locked="0"/>
    </xf>
    <xf numFmtId="4" fontId="7" fillId="0" borderId="6" xfId="0" applyNumberFormat="1" applyFont="1" applyFill="1" applyBorder="1" applyAlignment="1" applyProtection="1">
      <alignment horizontal="right" wrapText="1"/>
      <protection locked="0"/>
    </xf>
    <xf numFmtId="4" fontId="8" fillId="5" borderId="46" xfId="0" applyNumberFormat="1" applyFont="1" applyFill="1" applyBorder="1" applyAlignment="1" applyProtection="1">
      <alignment horizontal="right" wrapText="1"/>
      <protection locked="0"/>
    </xf>
    <xf numFmtId="4" fontId="8" fillId="5" borderId="6" xfId="0" applyNumberFormat="1" applyFont="1" applyFill="1" applyBorder="1" applyAlignment="1" applyProtection="1">
      <alignment horizontal="right" wrapText="1"/>
      <protection locked="0"/>
    </xf>
    <xf numFmtId="4" fontId="8" fillId="5" borderId="46" xfId="0" applyNumberFormat="1" applyFont="1" applyFill="1" applyBorder="1" applyAlignment="1" applyProtection="1">
      <alignment horizontal="right" wrapText="1"/>
      <protection locked="0"/>
    </xf>
    <xf numFmtId="4" fontId="8" fillId="5" borderId="46" xfId="0" applyNumberFormat="1" applyFont="1" applyFill="1" applyBorder="1" applyAlignment="1" applyProtection="1">
      <alignment horizontal="right" wrapText="1"/>
      <protection locked="0"/>
    </xf>
    <xf numFmtId="4" fontId="8" fillId="5" borderId="46" xfId="0" applyNumberFormat="1" applyFont="1" applyFill="1" applyBorder="1" applyAlignment="1" applyProtection="1">
      <alignment horizontal="right" wrapText="1"/>
      <protection locked="0"/>
    </xf>
    <xf numFmtId="9" fontId="8" fillId="0" borderId="1" xfId="1" applyNumberFormat="1" applyFont="1" applyFill="1" applyBorder="1" applyAlignment="1" applyProtection="1">
      <alignment horizontal="right" wrapText="1"/>
      <protection locked="0"/>
    </xf>
    <xf numFmtId="4" fontId="8" fillId="5" borderId="45" xfId="0" applyNumberFormat="1" applyFont="1" applyFill="1" applyBorder="1" applyAlignment="1" applyProtection="1">
      <alignment horizontal="right" wrapText="1"/>
      <protection locked="0"/>
    </xf>
    <xf numFmtId="164" fontId="8" fillId="5" borderId="45" xfId="1" applyNumberFormat="1" applyFont="1" applyFill="1" applyBorder="1" applyAlignment="1" applyProtection="1">
      <alignment horizontal="right" wrapText="1"/>
      <protection locked="0"/>
    </xf>
    <xf numFmtId="164" fontId="8" fillId="5" borderId="45" xfId="1" quotePrefix="1" applyNumberFormat="1" applyFont="1" applyFill="1" applyBorder="1" applyAlignment="1" applyProtection="1">
      <alignment horizontal="right" wrapText="1"/>
      <protection locked="0"/>
    </xf>
    <xf numFmtId="4" fontId="8" fillId="5" borderId="47" xfId="0" quotePrefix="1" applyNumberFormat="1" applyFont="1" applyFill="1" applyBorder="1" applyAlignment="1" applyProtection="1">
      <alignment horizontal="right" wrapText="1"/>
      <protection locked="0"/>
    </xf>
    <xf numFmtId="4" fontId="8" fillId="5" borderId="48" xfId="0" quotePrefix="1" applyNumberFormat="1" applyFont="1" applyFill="1" applyBorder="1" applyAlignment="1" applyProtection="1">
      <alignment horizontal="right" wrapText="1"/>
      <protection locked="0"/>
    </xf>
    <xf numFmtId="4" fontId="8" fillId="5" borderId="48" xfId="0" applyNumberFormat="1" applyFont="1" applyFill="1" applyBorder="1" applyAlignment="1" applyProtection="1">
      <alignment horizontal="right" wrapText="1"/>
      <protection locked="0"/>
    </xf>
    <xf numFmtId="4" fontId="8" fillId="5" borderId="49" xfId="0" quotePrefix="1" applyNumberFormat="1" applyFont="1" applyFill="1" applyBorder="1" applyAlignment="1" applyProtection="1">
      <alignment horizontal="right" wrapText="1"/>
      <protection locked="0"/>
    </xf>
    <xf numFmtId="4" fontId="8" fillId="5" borderId="50" xfId="0" quotePrefix="1" applyNumberFormat="1" applyFont="1" applyFill="1" applyBorder="1" applyAlignment="1" applyProtection="1">
      <alignment horizontal="right" wrapText="1"/>
      <protection locked="0"/>
    </xf>
    <xf numFmtId="4" fontId="8" fillId="5" borderId="49" xfId="0" applyNumberFormat="1" applyFont="1" applyFill="1" applyBorder="1" applyAlignment="1" applyProtection="1">
      <alignment horizontal="right" wrapText="1"/>
      <protection locked="0"/>
    </xf>
    <xf numFmtId="9" fontId="8" fillId="0" borderId="2" xfId="1" applyFont="1" applyFill="1" applyBorder="1" applyAlignment="1" applyProtection="1">
      <alignment horizontal="right"/>
      <protection locked="0"/>
    </xf>
    <xf numFmtId="9" fontId="7" fillId="0" borderId="2" xfId="1" applyFont="1" applyFill="1" applyBorder="1" applyAlignment="1" applyProtection="1">
      <alignment horizontal="right"/>
      <protection locked="0"/>
    </xf>
    <xf numFmtId="2" fontId="8" fillId="5" borderId="48" xfId="0" applyNumberFormat="1" applyFont="1" applyFill="1" applyBorder="1" applyAlignment="1" applyProtection="1">
      <alignment horizontal="right" wrapText="1"/>
      <protection locked="0"/>
    </xf>
    <xf numFmtId="9" fontId="7" fillId="4" borderId="2" xfId="1" applyFont="1" applyFill="1" applyBorder="1"/>
    <xf numFmtId="9" fontId="8" fillId="4" borderId="2" xfId="1" applyFont="1" applyFill="1" applyBorder="1"/>
    <xf numFmtId="3" fontId="8" fillId="4" borderId="2" xfId="0" applyNumberFormat="1" applyFont="1" applyFill="1" applyBorder="1"/>
    <xf numFmtId="3" fontId="8" fillId="4" borderId="50" xfId="0" applyNumberFormat="1" applyFont="1" applyFill="1" applyBorder="1" applyAlignment="1">
      <alignment horizontal="right" wrapText="1"/>
    </xf>
    <xf numFmtId="3" fontId="8" fillId="4" borderId="1" xfId="0" applyNumberFormat="1" applyFont="1" applyFill="1" applyBorder="1"/>
    <xf numFmtId="9" fontId="7" fillId="4" borderId="2" xfId="1" applyFont="1" applyFill="1" applyBorder="1"/>
    <xf numFmtId="9" fontId="8" fillId="4" borderId="2" xfId="1" applyFont="1" applyFill="1" applyBorder="1"/>
    <xf numFmtId="3" fontId="8" fillId="5" borderId="14" xfId="0" applyNumberFormat="1" applyFont="1" applyFill="1" applyBorder="1"/>
    <xf numFmtId="9" fontId="7" fillId="4" borderId="2" xfId="1" applyFont="1" applyFill="1" applyBorder="1"/>
    <xf numFmtId="9" fontId="8" fillId="4" borderId="2" xfId="1" applyFont="1" applyFill="1" applyBorder="1"/>
    <xf numFmtId="4" fontId="8" fillId="4" borderId="47" xfId="0" applyNumberFormat="1" applyFont="1" applyFill="1" applyBorder="1" applyAlignment="1">
      <alignment horizontal="right" wrapText="1"/>
    </xf>
    <xf numFmtId="4" fontId="8" fillId="4" borderId="2" xfId="0" applyNumberFormat="1" applyFont="1" applyFill="1" applyBorder="1"/>
    <xf numFmtId="4" fontId="8" fillId="4" borderId="1" xfId="0" applyNumberFormat="1" applyFont="1" applyFill="1" applyBorder="1"/>
    <xf numFmtId="4" fontId="7" fillId="0" borderId="1" xfId="0" applyNumberFormat="1" applyFont="1" applyFill="1" applyBorder="1" applyAlignment="1">
      <alignment wrapText="1"/>
    </xf>
    <xf numFmtId="4" fontId="8" fillId="4" borderId="45" xfId="0" applyNumberFormat="1" applyFont="1" applyFill="1" applyBorder="1" applyAlignment="1">
      <alignment horizontal="right" wrapText="1"/>
    </xf>
    <xf numFmtId="4" fontId="8" fillId="4" borderId="2" xfId="0" applyNumberFormat="1" applyFont="1" applyFill="1" applyBorder="1"/>
    <xf numFmtId="4" fontId="8" fillId="4" borderId="1" xfId="0" applyNumberFormat="1" applyFont="1" applyFill="1" applyBorder="1"/>
    <xf numFmtId="4" fontId="7" fillId="4" borderId="1" xfId="0" applyNumberFormat="1" applyFont="1" applyFill="1" applyBorder="1" applyAlignment="1">
      <alignment horizontal="right"/>
    </xf>
    <xf numFmtId="4" fontId="7" fillId="7" borderId="1" xfId="0" applyNumberFormat="1" applyFont="1" applyFill="1" applyBorder="1" applyAlignment="1">
      <alignment horizontal="right"/>
    </xf>
    <xf numFmtId="164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9" fontId="8" fillId="5" borderId="1" xfId="1" applyNumberFormat="1" applyFont="1" applyFill="1" applyBorder="1" applyAlignment="1">
      <alignment horizontal="right" wrapText="1"/>
    </xf>
    <xf numFmtId="9" fontId="7" fillId="5" borderId="1" xfId="1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4" fontId="7" fillId="7" borderId="1" xfId="0" applyNumberFormat="1" applyFont="1" applyFill="1" applyBorder="1" applyAlignment="1">
      <alignment horizontal="right"/>
    </xf>
    <xf numFmtId="3" fontId="8" fillId="7" borderId="2" xfId="0" applyNumberFormat="1" applyFont="1" applyFill="1" applyBorder="1"/>
    <xf numFmtId="3" fontId="8" fillId="7" borderId="43" xfId="0" applyNumberFormat="1" applyFont="1" applyFill="1" applyBorder="1" applyAlignment="1">
      <alignment horizontal="right" wrapText="1"/>
    </xf>
    <xf numFmtId="3" fontId="8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47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7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50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7" fillId="11" borderId="1" xfId="0" applyNumberFormat="1" applyFont="1" applyFill="1" applyBorder="1" applyAlignment="1">
      <alignment horizontal="right"/>
    </xf>
    <xf numFmtId="164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4" fontId="7" fillId="11" borderId="1" xfId="0" applyNumberFormat="1" applyFont="1" applyFill="1" applyBorder="1" applyAlignment="1">
      <alignment horizontal="right"/>
    </xf>
    <xf numFmtId="3" fontId="8" fillId="11" borderId="2" xfId="0" applyNumberFormat="1" applyFont="1" applyFill="1" applyBorder="1"/>
    <xf numFmtId="3" fontId="8" fillId="11" borderId="51" xfId="0" applyNumberFormat="1" applyFont="1" applyFill="1" applyBorder="1" applyAlignment="1">
      <alignment horizontal="right" wrapText="1"/>
    </xf>
    <xf numFmtId="3" fontId="8" fillId="11" borderId="1" xfId="0" applyNumberFormat="1" applyFont="1" applyFill="1" applyBorder="1"/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51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4" fontId="7" fillId="10" borderId="1" xfId="0" applyNumberFormat="1" applyFont="1" applyFill="1" applyBorder="1" applyAlignment="1">
      <alignment horizontal="right"/>
    </xf>
    <xf numFmtId="164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51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4" fontId="7" fillId="10" borderId="1" xfId="0" applyNumberFormat="1" applyFont="1" applyFill="1" applyBorder="1" applyAlignment="1">
      <alignment horizontal="right"/>
    </xf>
    <xf numFmtId="3" fontId="8" fillId="10" borderId="2" xfId="0" applyNumberFormat="1" applyFont="1" applyFill="1" applyBorder="1"/>
    <xf numFmtId="3" fontId="8" fillId="10" borderId="51" xfId="0" applyNumberFormat="1" applyFont="1" applyFill="1" applyBorder="1" applyAlignment="1">
      <alignment horizontal="right" wrapText="1"/>
    </xf>
    <xf numFmtId="3" fontId="8" fillId="10" borderId="1" xfId="0" applyNumberFormat="1" applyFont="1" applyFill="1" applyBorder="1"/>
    <xf numFmtId="4" fontId="8" fillId="10" borderId="2" xfId="0" applyNumberFormat="1" applyFont="1" applyFill="1" applyBorder="1"/>
    <xf numFmtId="4" fontId="8" fillId="10" borderId="52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7" fillId="10" borderId="1" xfId="0" applyNumberFormat="1" applyFont="1" applyFill="1" applyBorder="1"/>
    <xf numFmtId="4" fontId="8" fillId="10" borderId="2" xfId="0" applyNumberFormat="1" applyFont="1" applyFill="1" applyBorder="1"/>
    <xf numFmtId="4" fontId="8" fillId="10" borderId="52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7" fillId="13" borderId="1" xfId="0" applyNumberFormat="1" applyFont="1" applyFill="1" applyBorder="1" applyAlignment="1">
      <alignment horizontal="right"/>
    </xf>
    <xf numFmtId="164" fontId="8" fillId="13" borderId="1" xfId="1" applyNumberFormat="1" applyFont="1" applyFill="1" applyBorder="1" applyAlignment="1">
      <alignment horizontal="right"/>
    </xf>
    <xf numFmtId="4" fontId="7" fillId="13" borderId="1" xfId="0" applyNumberFormat="1" applyFont="1" applyFill="1" applyBorder="1" applyAlignment="1">
      <alignment horizontal="right"/>
    </xf>
    <xf numFmtId="4" fontId="8" fillId="13" borderId="1" xfId="0" applyNumberFormat="1" applyFont="1" applyFill="1" applyBorder="1" applyAlignment="1">
      <alignment horizontal="right" vertical="center"/>
    </xf>
    <xf numFmtId="3" fontId="8" fillId="13" borderId="2" xfId="0" applyNumberFormat="1" applyFont="1" applyFill="1" applyBorder="1"/>
    <xf numFmtId="3" fontId="8" fillId="13" borderId="50" xfId="0" applyNumberFormat="1" applyFont="1" applyFill="1" applyBorder="1" applyAlignment="1">
      <alignment horizontal="right" wrapText="1"/>
    </xf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50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4" fontId="7" fillId="13" borderId="1" xfId="0" applyNumberFormat="1" applyFont="1" applyFill="1" applyBorder="1"/>
    <xf numFmtId="3" fontId="8" fillId="4" borderId="2" xfId="0" applyNumberFormat="1" applyFont="1" applyFill="1" applyBorder="1"/>
    <xf numFmtId="3" fontId="8" fillId="4" borderId="1" xfId="0" applyNumberFormat="1" applyFont="1" applyFill="1" applyBorder="1"/>
    <xf numFmtId="3" fontId="8" fillId="0" borderId="14" xfId="0" applyNumberFormat="1" applyFont="1" applyBorder="1"/>
    <xf numFmtId="4" fontId="8" fillId="4" borderId="2" xfId="0" applyNumberFormat="1" applyFont="1" applyFill="1" applyBorder="1"/>
    <xf numFmtId="4" fontId="8" fillId="4" borderId="1" xfId="0" applyNumberFormat="1" applyFont="1" applyFill="1" applyBorder="1"/>
    <xf numFmtId="4" fontId="7" fillId="7" borderId="1" xfId="0" applyNumberFormat="1" applyFont="1" applyFill="1" applyBorder="1" applyAlignment="1">
      <alignment horizontal="right"/>
    </xf>
    <xf numFmtId="3" fontId="8" fillId="7" borderId="2" xfId="0" applyNumberFormat="1" applyFont="1" applyFill="1" applyBorder="1"/>
    <xf numFmtId="3" fontId="8" fillId="7" borderId="1" xfId="0" applyNumberFormat="1" applyFont="1" applyFill="1" applyBorder="1"/>
    <xf numFmtId="4" fontId="8" fillId="7" borderId="2" xfId="0" applyNumberFormat="1" applyFont="1" applyFill="1" applyBorder="1"/>
    <xf numFmtId="9" fontId="8" fillId="7" borderId="2" xfId="1" applyFont="1" applyFill="1" applyBorder="1"/>
    <xf numFmtId="4" fontId="8" fillId="7" borderId="1" xfId="0" applyNumberFormat="1" applyFont="1" applyFill="1" applyBorder="1"/>
    <xf numFmtId="4" fontId="7" fillId="10" borderId="1" xfId="0" applyNumberFormat="1" applyFont="1" applyFill="1" applyBorder="1" applyAlignment="1">
      <alignment horizontal="right"/>
    </xf>
    <xf numFmtId="3" fontId="8" fillId="10" borderId="2" xfId="0" applyNumberFormat="1" applyFont="1" applyFill="1" applyBorder="1"/>
    <xf numFmtId="3" fontId="8" fillId="10" borderId="1" xfId="0" applyNumberFormat="1" applyFont="1" applyFill="1" applyBorder="1"/>
    <xf numFmtId="4" fontId="8" fillId="10" borderId="2" xfId="0" applyNumberFormat="1" applyFont="1" applyFill="1" applyBorder="1"/>
    <xf numFmtId="9" fontId="8" fillId="10" borderId="2" xfId="1" applyFont="1" applyFill="1" applyBorder="1"/>
    <xf numFmtId="4" fontId="8" fillId="10" borderId="1" xfId="0" applyNumberFormat="1" applyFont="1" applyFill="1" applyBorder="1"/>
    <xf numFmtId="4" fontId="7" fillId="11" borderId="1" xfId="0" applyNumberFormat="1" applyFont="1" applyFill="1" applyBorder="1" applyAlignment="1">
      <alignment horizontal="right"/>
    </xf>
    <xf numFmtId="3" fontId="8" fillId="11" borderId="2" xfId="0" applyNumberFormat="1" applyFont="1" applyFill="1" applyBorder="1"/>
    <xf numFmtId="3" fontId="8" fillId="11" borderId="1" xfId="0" applyNumberFormat="1" applyFont="1" applyFill="1" applyBorder="1"/>
    <xf numFmtId="4" fontId="8" fillId="11" borderId="2" xfId="0" applyNumberFormat="1" applyFont="1" applyFill="1" applyBorder="1"/>
    <xf numFmtId="9" fontId="8" fillId="11" borderId="2" xfId="1" applyFont="1" applyFill="1" applyBorder="1"/>
    <xf numFmtId="4" fontId="8" fillId="11" borderId="1" xfId="0" applyNumberFormat="1" applyFont="1" applyFill="1" applyBorder="1"/>
    <xf numFmtId="4" fontId="7" fillId="13" borderId="1" xfId="0" applyNumberFormat="1" applyFont="1" applyFill="1" applyBorder="1" applyAlignment="1">
      <alignment horizontal="right"/>
    </xf>
    <xf numFmtId="3" fontId="8" fillId="13" borderId="2" xfId="0" applyNumberFormat="1" applyFont="1" applyFill="1" applyBorder="1"/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47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9" fontId="7" fillId="7" borderId="2" xfId="1" applyFont="1" applyFill="1" applyBorder="1"/>
    <xf numFmtId="9" fontId="7" fillId="10" borderId="2" xfId="1" applyFont="1" applyFill="1" applyBorder="1"/>
    <xf numFmtId="9" fontId="7" fillId="11" borderId="2" xfId="1" applyFont="1" applyFill="1" applyBorder="1"/>
    <xf numFmtId="9" fontId="8" fillId="13" borderId="2" xfId="1" applyFont="1" applyFill="1" applyBorder="1"/>
    <xf numFmtId="9" fontId="7" fillId="13" borderId="2" xfId="1" applyFont="1" applyFill="1" applyBorder="1"/>
    <xf numFmtId="9" fontId="8" fillId="13" borderId="2" xfId="1" applyFont="1" applyFill="1" applyBorder="1" applyAlignment="1">
      <alignment horizontal="right"/>
    </xf>
    <xf numFmtId="4" fontId="7" fillId="0" borderId="46" xfId="0" applyNumberFormat="1" applyFont="1" applyFill="1" applyBorder="1" applyAlignment="1" applyProtection="1">
      <alignment horizontal="right" wrapText="1"/>
      <protection locked="0"/>
    </xf>
    <xf numFmtId="4" fontId="7" fillId="0" borderId="55" xfId="0" applyNumberFormat="1" applyFont="1" applyFill="1" applyBorder="1" applyAlignment="1" applyProtection="1">
      <alignment horizontal="right" wrapText="1"/>
      <protection locked="0"/>
    </xf>
    <xf numFmtId="4" fontId="8" fillId="0" borderId="55" xfId="0" applyNumberFormat="1" applyFont="1" applyFill="1" applyBorder="1" applyAlignment="1" applyProtection="1">
      <alignment horizontal="right" wrapText="1"/>
      <protection locked="0"/>
    </xf>
    <xf numFmtId="4" fontId="7" fillId="0" borderId="56" xfId="0" applyNumberFormat="1" applyFont="1" applyFill="1" applyBorder="1" applyAlignment="1" applyProtection="1">
      <alignment horizontal="right" wrapText="1"/>
      <protection locked="0"/>
    </xf>
    <xf numFmtId="4" fontId="8" fillId="0" borderId="56" xfId="0" applyNumberFormat="1" applyFont="1" applyFill="1" applyBorder="1" applyAlignment="1" applyProtection="1">
      <alignment horizontal="right" wrapText="1"/>
      <protection locked="0"/>
    </xf>
    <xf numFmtId="4" fontId="8" fillId="0" borderId="52" xfId="0" applyNumberFormat="1" applyFont="1" applyFill="1" applyBorder="1" applyAlignment="1" applyProtection="1">
      <alignment horizontal="right" wrapText="1"/>
      <protection locked="0"/>
    </xf>
    <xf numFmtId="4" fontId="8" fillId="5" borderId="4" xfId="0" applyNumberFormat="1" applyFont="1" applyFill="1" applyBorder="1" applyAlignment="1" applyProtection="1">
      <alignment horizontal="right" wrapText="1"/>
      <protection locked="0"/>
    </xf>
    <xf numFmtId="2" fontId="8" fillId="13" borderId="17" xfId="0" applyNumberFormat="1" applyFont="1" applyFill="1" applyBorder="1" applyAlignment="1">
      <alignment horizontal="right" wrapText="1"/>
    </xf>
    <xf numFmtId="4" fontId="7" fillId="0" borderId="52" xfId="0" applyNumberFormat="1" applyFont="1" applyFill="1" applyBorder="1" applyAlignment="1" applyProtection="1">
      <alignment horizontal="right" wrapText="1"/>
      <protection locked="0"/>
    </xf>
    <xf numFmtId="9" fontId="8" fillId="0" borderId="9" xfId="1" applyFont="1" applyFill="1" applyBorder="1" applyAlignment="1" applyProtection="1">
      <alignment horizontal="right" wrapText="1"/>
      <protection locked="0"/>
    </xf>
    <xf numFmtId="4" fontId="8" fillId="0" borderId="46" xfId="0" applyNumberFormat="1" applyFont="1" applyFill="1" applyBorder="1" applyAlignment="1" applyProtection="1">
      <alignment horizontal="right" wrapText="1"/>
      <protection locked="0"/>
    </xf>
    <xf numFmtId="4" fontId="8" fillId="0" borderId="46" xfId="0" quotePrefix="1" applyNumberFormat="1" applyFont="1" applyFill="1" applyBorder="1" applyAlignment="1" applyProtection="1">
      <alignment horizontal="right" wrapText="1"/>
      <protection locked="0"/>
    </xf>
    <xf numFmtId="4" fontId="7" fillId="0" borderId="58" xfId="0" applyNumberFormat="1" applyFont="1" applyFill="1" applyBorder="1" applyAlignment="1" applyProtection="1">
      <alignment horizontal="right" wrapText="1"/>
      <protection locked="0"/>
    </xf>
    <xf numFmtId="0" fontId="9" fillId="0" borderId="59" xfId="0" applyFont="1" applyFill="1" applyBorder="1" applyAlignment="1" applyProtection="1">
      <alignment wrapText="1"/>
      <protection locked="0"/>
    </xf>
    <xf numFmtId="9" fontId="7" fillId="0" borderId="59" xfId="1" applyFont="1" applyFill="1" applyBorder="1" applyAlignment="1" applyProtection="1">
      <alignment horizontal="right" wrapText="1"/>
      <protection locked="0"/>
    </xf>
    <xf numFmtId="9" fontId="8" fillId="0" borderId="59" xfId="1" applyFont="1" applyFill="1" applyBorder="1" applyAlignment="1" applyProtection="1">
      <alignment horizontal="right" wrapText="1"/>
      <protection locked="0"/>
    </xf>
    <xf numFmtId="9" fontId="8" fillId="0" borderId="59" xfId="1" quotePrefix="1" applyFont="1" applyFill="1" applyBorder="1" applyAlignment="1" applyProtection="1">
      <alignment horizontal="right" wrapText="1"/>
      <protection locked="0"/>
    </xf>
    <xf numFmtId="9" fontId="7" fillId="0" borderId="57" xfId="1" applyFont="1" applyFill="1" applyBorder="1" applyAlignment="1" applyProtection="1">
      <alignment horizontal="right" wrapText="1"/>
      <protection locked="0"/>
    </xf>
    <xf numFmtId="0" fontId="9" fillId="0" borderId="7" xfId="0" applyFont="1" applyFill="1" applyBorder="1" applyAlignment="1" applyProtection="1">
      <alignment wrapText="1"/>
      <protection locked="0"/>
    </xf>
    <xf numFmtId="0" fontId="9" fillId="0" borderId="61" xfId="0" applyFont="1" applyFill="1" applyBorder="1" applyAlignment="1" applyProtection="1">
      <alignment wrapText="1"/>
      <protection locked="0"/>
    </xf>
    <xf numFmtId="9" fontId="7" fillId="0" borderId="61" xfId="1" applyFont="1" applyFill="1" applyBorder="1" applyAlignment="1" applyProtection="1">
      <alignment horizontal="right" wrapText="1"/>
      <protection locked="0"/>
    </xf>
    <xf numFmtId="9" fontId="8" fillId="0" borderId="61" xfId="1" applyFont="1" applyFill="1" applyBorder="1" applyAlignment="1" applyProtection="1">
      <alignment horizontal="right" wrapText="1"/>
      <protection locked="0"/>
    </xf>
    <xf numFmtId="9" fontId="7" fillId="0" borderId="60" xfId="1" applyFont="1" applyFill="1" applyBorder="1" applyAlignment="1" applyProtection="1">
      <alignment horizontal="right" wrapText="1"/>
      <protection locked="0"/>
    </xf>
    <xf numFmtId="0" fontId="8" fillId="0" borderId="9" xfId="0" applyFont="1" applyFill="1" applyBorder="1" applyAlignment="1" applyProtection="1">
      <alignment horizontal="right" wrapText="1"/>
      <protection locked="0"/>
    </xf>
    <xf numFmtId="9" fontId="8" fillId="0" borderId="46" xfId="1" applyFont="1" applyFill="1" applyBorder="1" applyAlignment="1" applyProtection="1">
      <alignment horizontal="right" wrapText="1"/>
      <protection locked="0"/>
    </xf>
    <xf numFmtId="9" fontId="7" fillId="0" borderId="62" xfId="1" applyFont="1" applyFill="1" applyBorder="1" applyAlignment="1" applyProtection="1">
      <alignment horizontal="right" wrapText="1"/>
      <protection locked="0"/>
    </xf>
    <xf numFmtId="4" fontId="8" fillId="0" borderId="15" xfId="0" quotePrefix="1" applyNumberFormat="1" applyFont="1" applyFill="1" applyBorder="1" applyAlignment="1" applyProtection="1">
      <alignment horizontal="right" wrapText="1"/>
      <protection locked="0"/>
    </xf>
    <xf numFmtId="9" fontId="8" fillId="0" borderId="18" xfId="1" applyFont="1" applyFill="1" applyBorder="1" applyAlignment="1" applyProtection="1">
      <alignment horizontal="right"/>
      <protection locked="0"/>
    </xf>
    <xf numFmtId="4" fontId="8" fillId="0" borderId="9" xfId="0" quotePrefix="1" applyNumberFormat="1" applyFont="1" applyFill="1" applyBorder="1" applyAlignment="1" applyProtection="1">
      <alignment horizontal="right" wrapText="1"/>
      <protection locked="0"/>
    </xf>
    <xf numFmtId="9" fontId="7" fillId="0" borderId="1" xfId="1" applyFont="1" applyFill="1" applyBorder="1" applyAlignment="1" applyProtection="1">
      <alignment horizontal="right"/>
      <protection locked="0"/>
    </xf>
    <xf numFmtId="0" fontId="8" fillId="11" borderId="11" xfId="0" applyFont="1" applyFill="1" applyBorder="1" applyAlignment="1">
      <alignment horizontal="right" wrapText="1"/>
    </xf>
    <xf numFmtId="4" fontId="8" fillId="11" borderId="11" xfId="0" applyNumberFormat="1" applyFont="1" applyFill="1" applyBorder="1"/>
    <xf numFmtId="9" fontId="8" fillId="11" borderId="11" xfId="1" applyFont="1" applyFill="1" applyBorder="1"/>
    <xf numFmtId="4" fontId="8" fillId="11" borderId="11" xfId="0" applyNumberFormat="1" applyFont="1" applyFill="1" applyBorder="1" applyAlignment="1">
      <alignment horizontal="right" wrapText="1"/>
    </xf>
    <xf numFmtId="1" fontId="8" fillId="11" borderId="15" xfId="0" applyNumberFormat="1" applyFont="1" applyFill="1" applyBorder="1" applyAlignment="1">
      <alignment horizontal="right" wrapText="1"/>
    </xf>
    <xf numFmtId="9" fontId="8" fillId="10" borderId="11" xfId="1" applyFont="1" applyFill="1" applyBorder="1"/>
    <xf numFmtId="4" fontId="8" fillId="10" borderId="11" xfId="0" applyNumberFormat="1" applyFont="1" applyFill="1" applyBorder="1" applyAlignment="1">
      <alignment horizontal="right" wrapText="1"/>
    </xf>
    <xf numFmtId="1" fontId="8" fillId="10" borderId="15" xfId="0" applyNumberFormat="1" applyFont="1" applyFill="1" applyBorder="1" applyAlignment="1">
      <alignment horizontal="right" wrapText="1"/>
    </xf>
    <xf numFmtId="4" fontId="8" fillId="13" borderId="15" xfId="0" applyNumberFormat="1" applyFont="1" applyFill="1" applyBorder="1" applyAlignment="1">
      <alignment horizontal="right" wrapText="1"/>
    </xf>
    <xf numFmtId="9" fontId="8" fillId="13" borderId="11" xfId="1" applyFont="1" applyFill="1" applyBorder="1"/>
    <xf numFmtId="4" fontId="8" fillId="13" borderId="11" xfId="0" applyNumberFormat="1" applyFont="1" applyFill="1" applyBorder="1" applyAlignment="1">
      <alignment horizontal="right" wrapText="1"/>
    </xf>
    <xf numFmtId="1" fontId="8" fillId="13" borderId="15" xfId="0" applyNumberFormat="1" applyFont="1" applyFill="1" applyBorder="1" applyAlignment="1">
      <alignment horizontal="right" wrapText="1"/>
    </xf>
    <xf numFmtId="4" fontId="8" fillId="7" borderId="11" xfId="0" applyNumberFormat="1" applyFont="1" applyFill="1" applyBorder="1" applyAlignment="1">
      <alignment horizontal="right" wrapText="1"/>
    </xf>
    <xf numFmtId="9" fontId="7" fillId="7" borderId="1" xfId="1" applyFont="1" applyFill="1" applyBorder="1"/>
    <xf numFmtId="0" fontId="11" fillId="13" borderId="11" xfId="0" applyFont="1" applyFill="1" applyBorder="1" applyAlignment="1">
      <alignment horizontal="left" vertical="center" wrapText="1"/>
    </xf>
    <xf numFmtId="0" fontId="11" fillId="13" borderId="5" xfId="0" applyFont="1" applyFill="1" applyBorder="1" applyAlignment="1">
      <alignment horizontal="left" vertical="center" wrapText="1"/>
    </xf>
  </cellXfs>
  <cellStyles count="161">
    <cellStyle name="20 % - Akzent1 2" xfId="7"/>
    <cellStyle name="20 % - Akzent2 2" xfId="8"/>
    <cellStyle name="20 % - Akzent3 2" xfId="9"/>
    <cellStyle name="20 % - Akzent4 2" xfId="10"/>
    <cellStyle name="20 % - Akzent5 2" xfId="11"/>
    <cellStyle name="20 % - Akzent6 2" xfId="12"/>
    <cellStyle name="20% - Accent1" xfId="95"/>
    <cellStyle name="20% - Accent2" xfId="96"/>
    <cellStyle name="20% - Accent3" xfId="97"/>
    <cellStyle name="20% - Accent4" xfId="98"/>
    <cellStyle name="20% - Accent5" xfId="99"/>
    <cellStyle name="20% - Accent6" xfId="100"/>
    <cellStyle name="20% - Akzent1" xfId="13"/>
    <cellStyle name="20% - Akzent2" xfId="14"/>
    <cellStyle name="20% - Akzent3" xfId="15"/>
    <cellStyle name="20% - Akzent4" xfId="16"/>
    <cellStyle name="20% - Akzent5" xfId="17"/>
    <cellStyle name="20% - Akzent6" xfId="18"/>
    <cellStyle name="40 % - Akzent1 2" xfId="19"/>
    <cellStyle name="40 % - Akzent2 2" xfId="20"/>
    <cellStyle name="40 % - Akzent3 2" xfId="21"/>
    <cellStyle name="40 % - Akzent4 2" xfId="22"/>
    <cellStyle name="40 % - Akzent5 2" xfId="23"/>
    <cellStyle name="40 % - Akzent6 2" xfId="24"/>
    <cellStyle name="40% - Accent1" xfId="101"/>
    <cellStyle name="40% - Accent2" xfId="102"/>
    <cellStyle name="40% - Accent3" xfId="103"/>
    <cellStyle name="40% - Accent4" xfId="104"/>
    <cellStyle name="40% - Accent5" xfId="105"/>
    <cellStyle name="40% - Accent6" xfId="106"/>
    <cellStyle name="40% - Akzent1" xfId="25"/>
    <cellStyle name="40% - Akzent2" xfId="26"/>
    <cellStyle name="40% - Akzent3" xfId="27"/>
    <cellStyle name="40% - Akzent4" xfId="28"/>
    <cellStyle name="40% - Akzent5" xfId="29"/>
    <cellStyle name="40% - Akzent6" xfId="30"/>
    <cellStyle name="60 % - Akzent1 2" xfId="31"/>
    <cellStyle name="60 % - Akzent2 2" xfId="32"/>
    <cellStyle name="60 % - Akzent3 2" xfId="33"/>
    <cellStyle name="60 % - Akzent4 2" xfId="34"/>
    <cellStyle name="60 % - Akzent5 2" xfId="35"/>
    <cellStyle name="60 % - Akzent6 2" xfId="3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- Akzent1" xfId="37"/>
    <cellStyle name="60% - Akzent2" xfId="38"/>
    <cellStyle name="60% - Akzent3" xfId="39"/>
    <cellStyle name="60% - Akzent4" xfId="40"/>
    <cellStyle name="60% - Akzent5" xfId="41"/>
    <cellStyle name="60% - Akzent6" xfId="42"/>
    <cellStyle name="Accent1" xfId="113"/>
    <cellStyle name="Accent2" xfId="114"/>
    <cellStyle name="Accent3" xfId="115"/>
    <cellStyle name="Accent4" xfId="116"/>
    <cellStyle name="Accent5" xfId="117"/>
    <cellStyle name="Accent6" xfId="118"/>
    <cellStyle name="Akzent1 2" xfId="43"/>
    <cellStyle name="Akzent2 2" xfId="44"/>
    <cellStyle name="Akzent3 2" xfId="45"/>
    <cellStyle name="Akzent4 2" xfId="46"/>
    <cellStyle name="Akzent5 2" xfId="47"/>
    <cellStyle name="Akzent6 2" xfId="48"/>
    <cellStyle name="Ausgabe 2" xfId="49"/>
    <cellStyle name="Avant10" xfId="69"/>
    <cellStyle name="Bad" xfId="119"/>
    <cellStyle name="Berechnung 2" xfId="50"/>
    <cellStyle name="bg" xfId="70"/>
    <cellStyle name="Calculation" xfId="120"/>
    <cellStyle name="cgf10" xfId="71"/>
    <cellStyle name="cgfett#" xfId="72"/>
    <cellStyle name="Check Cell" xfId="121"/>
    <cellStyle name="Eingabe 2" xfId="51"/>
    <cellStyle name="Ergebnis 2" xfId="52"/>
    <cellStyle name="Erklärender Text 2" xfId="53"/>
    <cellStyle name="Euro" xfId="73"/>
    <cellStyle name="Explanatory Text" xfId="122"/>
    <cellStyle name="formel" xfId="74"/>
    <cellStyle name="gesperrt" xfId="75"/>
    <cellStyle name="Good" xfId="123"/>
    <cellStyle name="Gut 2" xfId="54"/>
    <cellStyle name="Hard no." xfId="76"/>
    <cellStyle name="Heading 1" xfId="124"/>
    <cellStyle name="Heading 2" xfId="125"/>
    <cellStyle name="Heading 3" xfId="126"/>
    <cellStyle name="Heading 4" xfId="127"/>
    <cellStyle name="Input" xfId="128"/>
    <cellStyle name="Komma 2" xfId="2"/>
    <cellStyle name="Komma 3" xfId="136"/>
    <cellStyle name="Komma 4" xfId="159"/>
    <cellStyle name="Linked Cell" xfId="129"/>
    <cellStyle name="Migliaia (0)" xfId="77"/>
    <cellStyle name="Neutral 2" xfId="55"/>
    <cellStyle name="nicht gesperrt" xfId="78"/>
    <cellStyle name="Normal_Bilanz_Mittelmann_99_00" xfId="79"/>
    <cellStyle name="Normalny_Anlage G_1" xfId="80"/>
    <cellStyle name="Note" xfId="130"/>
    <cellStyle name="Notiz 2" xfId="56"/>
    <cellStyle name="Output" xfId="131"/>
    <cellStyle name="Prozent" xfId="1" builtinId="5"/>
    <cellStyle name="Prozent 2" xfId="3"/>
    <cellStyle name="Prozent 2 2" xfId="68"/>
    <cellStyle name="Prozent 3" xfId="4"/>
    <cellStyle name="Prozent 3 2" xfId="92"/>
    <cellStyle name="Rahmen fett links" xfId="81"/>
    <cellStyle name="Rahmen fett rechts" xfId="82"/>
    <cellStyle name="Rahmen fett unten" xfId="83"/>
    <cellStyle name="Schlecht 2" xfId="57"/>
    <cellStyle name="schraffiert" xfId="84"/>
    <cellStyle name="Standard" xfId="0" builtinId="0"/>
    <cellStyle name="Standard 2" xfId="5"/>
    <cellStyle name="Standard 2 2" xfId="67"/>
    <cellStyle name="Standard 2 3" xfId="94"/>
    <cellStyle name="Standard 3" xfId="66"/>
    <cellStyle name="Standard 3 2" xfId="139"/>
    <cellStyle name="Standard 3 3" xfId="157"/>
    <cellStyle name="Standard 4" xfId="91"/>
    <cellStyle name="Standard 5" xfId="6"/>
    <cellStyle name="Standard 5 2" xfId="135"/>
    <cellStyle name="Standard 5 3" xfId="143"/>
    <cellStyle name="Standard 6" xfId="93"/>
    <cellStyle name="Standard 6 2" xfId="137"/>
    <cellStyle name="Standard 6 2 2" xfId="141"/>
    <cellStyle name="Standard 6 2 2 2" xfId="147"/>
    <cellStyle name="Standard 6 2 2 2 2" xfId="155"/>
    <cellStyle name="Standard 6 2 2 3" xfId="151"/>
    <cellStyle name="Standard 6 2 3" xfId="145"/>
    <cellStyle name="Standard 6 2 3 2" xfId="153"/>
    <cellStyle name="Standard 6 2 4" xfId="149"/>
    <cellStyle name="Standard 6 3" xfId="144"/>
    <cellStyle name="Standard 7" xfId="140"/>
    <cellStyle name="Standard 7 2" xfId="142"/>
    <cellStyle name="Standard 7 2 2" xfId="148"/>
    <cellStyle name="Standard 7 2 2 2" xfId="156"/>
    <cellStyle name="Standard 7 2 3" xfId="152"/>
    <cellStyle name="Standard 7 3" xfId="146"/>
    <cellStyle name="Standard 7 3 2" xfId="154"/>
    <cellStyle name="Standard 7 4" xfId="150"/>
    <cellStyle name="Standard 8" xfId="158"/>
    <cellStyle name="Standard 9" xfId="160"/>
    <cellStyle name="Titel" xfId="85"/>
    <cellStyle name="Title" xfId="132"/>
    <cellStyle name="Total" xfId="133"/>
    <cellStyle name="Überschrift 1 2" xfId="59"/>
    <cellStyle name="Überschrift 2 2" xfId="60"/>
    <cellStyle name="Überschrift 3 2" xfId="61"/>
    <cellStyle name="Überschrift 4 2" xfId="62"/>
    <cellStyle name="Überschrift 5" xfId="58"/>
    <cellStyle name="Überschrift 6" xfId="138"/>
    <cellStyle name="Ueberschrift 1" xfId="86"/>
    <cellStyle name="Ueberschrift 2" xfId="87"/>
    <cellStyle name="Valuta (0)" xfId="88"/>
    <cellStyle name="Verknüpfte Zelle 2" xfId="63"/>
    <cellStyle name="Warnender Text 2" xfId="64"/>
    <cellStyle name="Warning Text" xfId="134"/>
    <cellStyle name="zahl" xfId="89"/>
    <cellStyle name="Zelle überprüfen 2" xfId="65"/>
    <cellStyle name="zentr.ü.Ausw.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8"/>
  <sheetViews>
    <sheetView tabSelected="1" view="pageBreakPreview" zoomScaleNormal="100" zoomScaleSheetLayoutView="100" workbookViewId="0">
      <pane xSplit="1" ySplit="1" topLeftCell="B2" activePane="bottomRight" state="frozen"/>
      <selection activeCell="D107" sqref="D107"/>
      <selection pane="topRight" activeCell="D107" sqref="D107"/>
      <selection pane="bottomLeft" activeCell="D107" sqref="D107"/>
      <selection pane="bottomRight"/>
    </sheetView>
  </sheetViews>
  <sheetFormatPr baseColWidth="10" defaultColWidth="22.44140625" defaultRowHeight="10.199999999999999"/>
  <cols>
    <col min="1" max="1" width="22.44140625" style="11" customWidth="1"/>
    <col min="2" max="13" width="10.88671875" style="24" customWidth="1"/>
    <col min="14" max="19" width="22.44140625" style="15" customWidth="1"/>
    <col min="20" max="16384" width="22.44140625" style="11"/>
  </cols>
  <sheetData>
    <row r="1" spans="1:19" s="1" customFormat="1" ht="24.75" customHeight="1">
      <c r="A1" s="271" t="s">
        <v>0</v>
      </c>
      <c r="B1" s="272" t="s">
        <v>151</v>
      </c>
      <c r="C1" s="272" t="s">
        <v>150</v>
      </c>
      <c r="D1" s="272" t="s">
        <v>145</v>
      </c>
      <c r="E1" s="272">
        <v>2016</v>
      </c>
      <c r="F1" s="272" t="s">
        <v>149</v>
      </c>
      <c r="G1" s="272">
        <v>2015</v>
      </c>
      <c r="H1" s="272" t="s">
        <v>146</v>
      </c>
      <c r="I1" s="272">
        <v>2014</v>
      </c>
      <c r="J1" s="272" t="s">
        <v>1</v>
      </c>
      <c r="K1" s="272">
        <v>2013</v>
      </c>
      <c r="L1" s="272" t="s">
        <v>2</v>
      </c>
      <c r="M1" s="272">
        <v>2012</v>
      </c>
      <c r="N1" s="2"/>
      <c r="O1" s="2"/>
      <c r="P1" s="2"/>
      <c r="Q1" s="2"/>
      <c r="R1" s="2"/>
      <c r="S1" s="2"/>
    </row>
    <row r="2" spans="1:19" s="3" customFormat="1">
      <c r="A2" s="273" t="s">
        <v>3</v>
      </c>
      <c r="B2" s="430">
        <f>B185</f>
        <v>2426.79</v>
      </c>
      <c r="C2" s="275">
        <f>IF((+B2/D2)&lt;0,"n.m.",IF(B2&lt;0,(+B2/D2-1)*-1,(+B2/D2-1)))</f>
        <v>7.5261527827624297E-2</v>
      </c>
      <c r="D2" s="430">
        <f>D185</f>
        <v>2256.9299999999998</v>
      </c>
      <c r="E2" s="430">
        <f t="shared" ref="E2" si="0">E185</f>
        <v>13491.03</v>
      </c>
      <c r="F2" s="364">
        <f t="shared" ref="F2:F22" si="1">IF((+E2/G2)&lt;0,"n.m.",IF(E2&lt;0,(+E2/G2-1)*-1,(+E2/G2-1)))</f>
        <v>-5.5895270459405899E-2</v>
      </c>
      <c r="G2" s="274">
        <f>G185</f>
        <v>14289.76</v>
      </c>
      <c r="H2" s="364">
        <f t="shared" ref="H2:H28" si="2">IF((+G2/I2)&lt;0,"n.m.",IF(G2&lt;0,(+G2/I2-1)*-1,(+G2/I2-1)))</f>
        <v>5.3351024620374554E-2</v>
      </c>
      <c r="I2" s="274">
        <f>I185</f>
        <v>13566</v>
      </c>
      <c r="J2" s="276">
        <f>IF((+I2/K2)&lt;0,"n.m.",IF(I2&lt;0,(+I2/K2-1)*-1,(+I2/K2-1)))</f>
        <v>-5.2088436882735678E-4</v>
      </c>
      <c r="K2" s="274">
        <v>13573.07</v>
      </c>
      <c r="L2" s="275">
        <f>(K2-M2)/M2</f>
        <v>-3.3436115819008044E-2</v>
      </c>
      <c r="M2" s="274">
        <v>14042.600000000002</v>
      </c>
      <c r="N2" s="7"/>
      <c r="O2" s="7"/>
      <c r="P2" s="7"/>
      <c r="Q2" s="7"/>
      <c r="R2" s="7"/>
      <c r="S2" s="7"/>
    </row>
    <row r="3" spans="1:19" s="3" customFormat="1">
      <c r="A3" s="273" t="s">
        <v>4</v>
      </c>
      <c r="B3" s="430">
        <f>B215</f>
        <v>16113.130000000001</v>
      </c>
      <c r="C3" s="275">
        <f>IF((+B3/D3)&lt;0,"n.m.",IF(B3&lt;0,(+B3/D3-1)*-1,(+B3/D3-1)))</f>
        <v>0.15286313858429312</v>
      </c>
      <c r="D3" s="430">
        <f>D215</f>
        <v>13976.619999999999</v>
      </c>
      <c r="E3" s="430">
        <f>E215</f>
        <v>14815.789999999999</v>
      </c>
      <c r="F3" s="371">
        <f t="shared" si="1"/>
        <v>0.1279987635691433</v>
      </c>
      <c r="G3" s="274">
        <f>G215</f>
        <v>13134.58</v>
      </c>
      <c r="H3" s="276">
        <f t="shared" si="2"/>
        <v>-8.8094233044328174E-2</v>
      </c>
      <c r="I3" s="274">
        <f>I215</f>
        <v>14403.439999999999</v>
      </c>
      <c r="J3" s="276">
        <f t="shared" ref="J3:J28" si="3">IF((+I3/K3)&lt;0,"n.m.",IF(I3&lt;0,(+I3/K3-1)*-1,(+I3/K3-1)))</f>
        <v>6.9323101959363642E-2</v>
      </c>
      <c r="K3" s="274">
        <v>13469.679999999998</v>
      </c>
      <c r="L3" s="275">
        <f>(K3-M3)/M3</f>
        <v>2.0224712292825735E-2</v>
      </c>
      <c r="M3" s="274">
        <v>13202.66</v>
      </c>
      <c r="N3" s="7"/>
      <c r="O3" s="7"/>
      <c r="P3" s="7"/>
      <c r="Q3" s="7"/>
      <c r="R3" s="7"/>
      <c r="S3" s="7"/>
    </row>
    <row r="4" spans="1:19" s="3" customFormat="1">
      <c r="A4" s="273" t="s">
        <v>5</v>
      </c>
      <c r="B4" s="277">
        <v>2211.4850000000001</v>
      </c>
      <c r="C4" s="275">
        <f t="shared" ref="C4:C31" si="4">IF((+B4/D4)&lt;0,"n.m.",IF(B4&lt;0,(+B4/D4-1)*-1,(+B4/D4-1)))</f>
        <v>4.1183892731201821E-2</v>
      </c>
      <c r="D4" s="379">
        <v>2124.0100000000002</v>
      </c>
      <c r="E4" s="362">
        <v>12400.46</v>
      </c>
      <c r="F4" s="371">
        <f t="shared" si="1"/>
        <v>-5.5093618460957061E-2</v>
      </c>
      <c r="G4" s="277">
        <v>13123.48</v>
      </c>
      <c r="H4" s="276">
        <f t="shared" si="2"/>
        <v>5.1925615555970417E-2</v>
      </c>
      <c r="I4" s="277">
        <v>12475.673000000001</v>
      </c>
      <c r="J4" s="276">
        <f t="shared" si="3"/>
        <v>6.5773761690191002E-3</v>
      </c>
      <c r="K4" s="277">
        <v>12394.152</v>
      </c>
      <c r="L4" s="275">
        <f>(K4-M4)/M4</f>
        <v>-4.5372443057903999E-2</v>
      </c>
      <c r="M4" s="277">
        <v>12983.233</v>
      </c>
      <c r="N4" s="7"/>
      <c r="O4" s="7"/>
      <c r="P4" s="7"/>
      <c r="Q4" s="7"/>
      <c r="R4" s="7"/>
      <c r="S4" s="7"/>
    </row>
    <row r="5" spans="1:19">
      <c r="A5" s="278" t="s">
        <v>6</v>
      </c>
      <c r="B5" s="279">
        <v>5.3540000000000001</v>
      </c>
      <c r="C5" s="280">
        <f t="shared" si="4"/>
        <v>-0.76882556131260793</v>
      </c>
      <c r="D5" s="380">
        <v>23.16</v>
      </c>
      <c r="E5" s="368">
        <v>51.39</v>
      </c>
      <c r="F5" s="372" t="str">
        <f t="shared" si="1"/>
        <v>n.m.</v>
      </c>
      <c r="G5" s="279">
        <v>-26.19</v>
      </c>
      <c r="H5" s="281">
        <f t="shared" si="2"/>
        <v>0.23932616903862902</v>
      </c>
      <c r="I5" s="279">
        <v>-34.43</v>
      </c>
      <c r="J5" s="281" t="str">
        <f t="shared" si="3"/>
        <v>n.m.</v>
      </c>
      <c r="K5" s="279">
        <v>40.090000000000003</v>
      </c>
      <c r="L5" s="280">
        <f t="shared" ref="L5:L33" si="5">(K5-M5)/M5</f>
        <v>-0.2043740573152337</v>
      </c>
      <c r="M5" s="279">
        <v>50.387999999999998</v>
      </c>
    </row>
    <row r="6" spans="1:19">
      <c r="A6" s="278" t="s">
        <v>7</v>
      </c>
      <c r="B6" s="279">
        <v>0.48899999999999999</v>
      </c>
      <c r="C6" s="280">
        <f t="shared" si="4"/>
        <v>-0.6924528301886792</v>
      </c>
      <c r="D6" s="380">
        <v>1.59</v>
      </c>
      <c r="E6" s="368">
        <v>4.16</v>
      </c>
      <c r="F6" s="372">
        <f t="shared" si="1"/>
        <v>-0.27777777777777768</v>
      </c>
      <c r="G6" s="279">
        <v>5.76</v>
      </c>
      <c r="H6" s="282">
        <f t="shared" si="2"/>
        <v>-0.34321550741163054</v>
      </c>
      <c r="I6" s="279">
        <v>8.77</v>
      </c>
      <c r="J6" s="282">
        <f t="shared" si="3"/>
        <v>2.6694560669456062</v>
      </c>
      <c r="K6" s="279">
        <v>2.39</v>
      </c>
      <c r="L6" s="280">
        <f t="shared" si="5"/>
        <v>-0.33109431849986004</v>
      </c>
      <c r="M6" s="279">
        <v>3.573</v>
      </c>
    </row>
    <row r="7" spans="1:19">
      <c r="A7" s="278" t="s">
        <v>8</v>
      </c>
      <c r="B7" s="279">
        <v>50.777000000000001</v>
      </c>
      <c r="C7" s="280">
        <f t="shared" si="4"/>
        <v>-1.019493177387909E-2</v>
      </c>
      <c r="D7" s="380">
        <v>51.3</v>
      </c>
      <c r="E7" s="368">
        <v>235.83</v>
      </c>
      <c r="F7" s="372">
        <f t="shared" si="1"/>
        <v>6.4887564345705862E-2</v>
      </c>
      <c r="G7" s="279">
        <v>221.46</v>
      </c>
      <c r="H7" s="282">
        <f t="shared" si="2"/>
        <v>-1.6672520335022201E-2</v>
      </c>
      <c r="I7" s="279">
        <v>225.2149</v>
      </c>
      <c r="J7" s="282">
        <f t="shared" si="3"/>
        <v>-3.0257662266084506E-2</v>
      </c>
      <c r="K7" s="279">
        <v>232.24199999999999</v>
      </c>
      <c r="L7" s="280">
        <f t="shared" si="5"/>
        <v>5.0559790106982076E-2</v>
      </c>
      <c r="M7" s="279">
        <v>221.065</v>
      </c>
    </row>
    <row r="8" spans="1:19" ht="30.6">
      <c r="A8" s="278" t="s">
        <v>9</v>
      </c>
      <c r="B8" s="279">
        <v>-1450.752</v>
      </c>
      <c r="C8" s="280">
        <f t="shared" si="4"/>
        <v>-9.4434935081200155E-3</v>
      </c>
      <c r="D8" s="380">
        <v>-1437.18</v>
      </c>
      <c r="E8" s="368">
        <v>-7980.01</v>
      </c>
      <c r="F8" s="372">
        <f t="shared" si="1"/>
        <v>7.41405935470697E-2</v>
      </c>
      <c r="G8" s="279">
        <v>-8619.0300000000007</v>
      </c>
      <c r="H8" s="282">
        <f t="shared" si="2"/>
        <v>-5.5833154687165099E-2</v>
      </c>
      <c r="I8" s="279">
        <v>-8163.25</v>
      </c>
      <c r="J8" s="282">
        <f t="shared" si="3"/>
        <v>5.0095376233340039E-3</v>
      </c>
      <c r="K8" s="279">
        <v>-8204.35</v>
      </c>
      <c r="L8" s="280">
        <f t="shared" si="5"/>
        <v>-5.2079230502336156E-2</v>
      </c>
      <c r="M8" s="279">
        <v>-8655.1010000000006</v>
      </c>
    </row>
    <row r="9" spans="1:19">
      <c r="A9" s="278" t="s">
        <v>10</v>
      </c>
      <c r="B9" s="279">
        <v>-752.92399999999998</v>
      </c>
      <c r="C9" s="280">
        <f t="shared" si="4"/>
        <v>-8.2207178071953102E-2</v>
      </c>
      <c r="D9" s="380">
        <v>-695.73</v>
      </c>
      <c r="E9" s="368">
        <v>-3210.91</v>
      </c>
      <c r="F9" s="372">
        <f t="shared" si="1"/>
        <v>-1.6673790865194382E-2</v>
      </c>
      <c r="G9" s="279">
        <v>-3158.25</v>
      </c>
      <c r="H9" s="282">
        <f t="shared" si="2"/>
        <v>-3.2892976818326591E-2</v>
      </c>
      <c r="I9" s="279">
        <v>-3057.674</v>
      </c>
      <c r="J9" s="282">
        <f t="shared" si="3"/>
        <v>-1.9684204348092926E-2</v>
      </c>
      <c r="K9" s="279">
        <v>-2998.6480000000001</v>
      </c>
      <c r="L9" s="280">
        <f t="shared" si="5"/>
        <v>-1.7409201262084322E-2</v>
      </c>
      <c r="M9" s="279">
        <v>-3051.777</v>
      </c>
      <c r="N9" s="244"/>
    </row>
    <row r="10" spans="1:19">
      <c r="A10" s="278" t="s">
        <v>11</v>
      </c>
      <c r="B10" s="279">
        <v>-131.66999999999999</v>
      </c>
      <c r="C10" s="280">
        <f t="shared" si="4"/>
        <v>6.2446596411278921E-2</v>
      </c>
      <c r="D10" s="380">
        <v>-140.44</v>
      </c>
      <c r="E10" s="368">
        <v>-795.85</v>
      </c>
      <c r="F10" s="372">
        <f t="shared" si="1"/>
        <v>3.7549885113072889E-2</v>
      </c>
      <c r="G10" s="279">
        <v>-826.9</v>
      </c>
      <c r="H10" s="282">
        <f t="shared" si="2"/>
        <v>-4.4906067127222116E-2</v>
      </c>
      <c r="I10" s="279">
        <v>-791.36300000000006</v>
      </c>
      <c r="J10" s="282">
        <f t="shared" si="3"/>
        <v>-1.5712578662364418E-2</v>
      </c>
      <c r="K10" s="279">
        <v>-779.12099999999998</v>
      </c>
      <c r="L10" s="280">
        <f t="shared" si="5"/>
        <v>-0.16952048588830457</v>
      </c>
      <c r="M10" s="279">
        <v>-938.15800000000002</v>
      </c>
    </row>
    <row r="11" spans="1:19" ht="20.399999999999999">
      <c r="A11" s="278" t="s">
        <v>12</v>
      </c>
      <c r="B11" s="279">
        <v>13.519</v>
      </c>
      <c r="C11" s="280">
        <f t="shared" si="4"/>
        <v>5.2062256809338514E-2</v>
      </c>
      <c r="D11" s="380">
        <v>12.85</v>
      </c>
      <c r="E11" s="368">
        <v>106.18</v>
      </c>
      <c r="F11" s="372">
        <f t="shared" si="1"/>
        <v>0.71562449507190196</v>
      </c>
      <c r="G11" s="279">
        <v>61.89</v>
      </c>
      <c r="H11" s="282">
        <f t="shared" si="2"/>
        <v>0.53687608641668727</v>
      </c>
      <c r="I11" s="279">
        <v>40.270000000000003</v>
      </c>
      <c r="J11" s="282">
        <f t="shared" si="3"/>
        <v>3.41799232035107</v>
      </c>
      <c r="K11" s="279">
        <v>9.1150000000000002</v>
      </c>
      <c r="L11" s="280" t="s">
        <v>13</v>
      </c>
      <c r="M11" s="279">
        <v>-9.2170000000000005</v>
      </c>
    </row>
    <row r="12" spans="1:19">
      <c r="A12" s="278" t="s">
        <v>14</v>
      </c>
      <c r="B12" s="279">
        <v>3.0150000000000001</v>
      </c>
      <c r="C12" s="280">
        <f t="shared" si="4"/>
        <v>0.10439560439560447</v>
      </c>
      <c r="D12" s="380">
        <v>2.73</v>
      </c>
      <c r="E12" s="368">
        <v>43.93</v>
      </c>
      <c r="F12" s="372">
        <f t="shared" si="1"/>
        <v>0.29663518299881919</v>
      </c>
      <c r="G12" s="279">
        <v>33.880000000000003</v>
      </c>
      <c r="H12" s="281">
        <f t="shared" si="2"/>
        <v>1.0249835634451019</v>
      </c>
      <c r="I12" s="279">
        <v>16.731000000000002</v>
      </c>
      <c r="J12" s="281" t="str">
        <f t="shared" si="3"/>
        <v>n.m.</v>
      </c>
      <c r="K12" s="279">
        <v>-0.95899999999999996</v>
      </c>
      <c r="L12" s="280" t="s">
        <v>13</v>
      </c>
      <c r="M12" s="279">
        <v>4.3479999999999999</v>
      </c>
    </row>
    <row r="13" spans="1:19" s="3" customFormat="1">
      <c r="A13" s="273" t="s">
        <v>143</v>
      </c>
      <c r="B13" s="274">
        <f>SUM(B4:B12)</f>
        <v>-50.706999999999901</v>
      </c>
      <c r="C13" s="275">
        <f t="shared" si="4"/>
        <v>0.12134811990989114</v>
      </c>
      <c r="D13" s="377">
        <f>SUM(D4:D12)</f>
        <v>-57.709999999999681</v>
      </c>
      <c r="E13" s="363">
        <f t="shared" ref="E13" si="6">SUM(E4:E12)</f>
        <v>855.17999999999813</v>
      </c>
      <c r="F13" s="371">
        <f t="shared" si="1"/>
        <v>4.7886288445044167E-2</v>
      </c>
      <c r="G13" s="274">
        <f>SUM(G4:G12)</f>
        <v>816.09999999999775</v>
      </c>
      <c r="H13" s="276">
        <f t="shared" si="2"/>
        <v>0.13356369451478778</v>
      </c>
      <c r="I13" s="274">
        <f>SUM(I4:I12)</f>
        <v>719.94190000000162</v>
      </c>
      <c r="J13" s="276">
        <f t="shared" si="3"/>
        <v>3.6014332688172779E-2</v>
      </c>
      <c r="K13" s="274">
        <v>694.91499999999996</v>
      </c>
      <c r="L13" s="275">
        <f t="shared" si="5"/>
        <v>0.14228722092728677</v>
      </c>
      <c r="M13" s="274">
        <f>SUM(M4:M12)</f>
        <v>608.35400000000118</v>
      </c>
      <c r="N13" s="7"/>
      <c r="O13" s="7"/>
      <c r="P13" s="7"/>
      <c r="Q13" s="7"/>
      <c r="R13" s="7"/>
      <c r="S13" s="7"/>
    </row>
    <row r="14" spans="1:19" ht="20.399999999999999">
      <c r="A14" s="278" t="s">
        <v>15</v>
      </c>
      <c r="B14" s="279">
        <v>-92.38</v>
      </c>
      <c r="C14" s="280">
        <f t="shared" si="4"/>
        <v>-5.348386361044577E-2</v>
      </c>
      <c r="D14" s="380">
        <v>-87.69</v>
      </c>
      <c r="E14" s="369">
        <v>-430.27</v>
      </c>
      <c r="F14" s="373">
        <f t="shared" si="1"/>
        <v>9.4282827432324412E-2</v>
      </c>
      <c r="G14" s="279">
        <v>-475.06</v>
      </c>
      <c r="H14" s="282">
        <f t="shared" si="2"/>
        <v>-8.4651494118506587E-2</v>
      </c>
      <c r="I14" s="279">
        <v>-437.98399999999998</v>
      </c>
      <c r="J14" s="282">
        <f t="shared" si="3"/>
        <v>-1.0723755414377312E-2</v>
      </c>
      <c r="K14" s="279">
        <v>-433.33699999999999</v>
      </c>
      <c r="L14" s="280">
        <f t="shared" si="5"/>
        <v>8.0188350017947552E-2</v>
      </c>
      <c r="M14" s="279">
        <v>-401.16800000000001</v>
      </c>
    </row>
    <row r="15" spans="1:19" s="3" customFormat="1">
      <c r="A15" s="273" t="s">
        <v>132</v>
      </c>
      <c r="B15" s="274">
        <f>B13+B14</f>
        <v>-143.0869999999999</v>
      </c>
      <c r="C15" s="275">
        <f t="shared" si="4"/>
        <v>1.590784044016369E-2</v>
      </c>
      <c r="D15" s="377">
        <f>D13+D14</f>
        <v>-145.39999999999969</v>
      </c>
      <c r="E15" s="363">
        <f t="shared" ref="E15" si="7">E13+E14</f>
        <v>424.90999999999815</v>
      </c>
      <c r="F15" s="371">
        <f t="shared" si="1"/>
        <v>0.245924231761673</v>
      </c>
      <c r="G15" s="274">
        <f>G13+G14</f>
        <v>341.03999999999775</v>
      </c>
      <c r="H15" s="276">
        <f t="shared" si="2"/>
        <v>0.20954227563758909</v>
      </c>
      <c r="I15" s="274">
        <f>I13+I14</f>
        <v>281.95790000000164</v>
      </c>
      <c r="J15" s="276">
        <f t="shared" si="3"/>
        <v>7.7890765072660129E-2</v>
      </c>
      <c r="K15" s="274">
        <v>261.58299999999997</v>
      </c>
      <c r="L15" s="275">
        <f t="shared" si="5"/>
        <v>0.26255152375159757</v>
      </c>
      <c r="M15" s="274">
        <f>M13+M14</f>
        <v>207.18600000000117</v>
      </c>
      <c r="N15" s="7"/>
      <c r="O15" s="7"/>
      <c r="P15" s="7"/>
      <c r="Q15" s="7"/>
      <c r="R15" s="7"/>
      <c r="S15" s="7"/>
    </row>
    <row r="16" spans="1:19">
      <c r="A16" s="278" t="s">
        <v>16</v>
      </c>
      <c r="B16" s="279">
        <f>16.623-35.341</f>
        <v>-18.718</v>
      </c>
      <c r="C16" s="280">
        <f t="shared" si="4"/>
        <v>-1.1055118110236219</v>
      </c>
      <c r="D16" s="380">
        <v>-8.89</v>
      </c>
      <c r="E16" s="365">
        <f>73.9-77.68</f>
        <v>-3.7800000000000011</v>
      </c>
      <c r="F16" s="373">
        <f t="shared" si="1"/>
        <v>0.84520884520884521</v>
      </c>
      <c r="G16" s="283">
        <f>82.07-106.49</f>
        <v>-24.42</v>
      </c>
      <c r="H16" s="282">
        <f t="shared" si="2"/>
        <v>6.7832194526090794E-2</v>
      </c>
      <c r="I16" s="279">
        <f>82.169-108.366</f>
        <v>-26.197000000000003</v>
      </c>
      <c r="J16" s="282">
        <f t="shared" si="3"/>
        <v>0.1694039315155359</v>
      </c>
      <c r="K16" s="279">
        <f>66.716-98.256</f>
        <v>-31.540000000000006</v>
      </c>
      <c r="L16" s="280">
        <f t="shared" si="5"/>
        <v>-0.37822812758743035</v>
      </c>
      <c r="M16" s="279">
        <f>73.145-123.871</f>
        <v>-50.725999999999999</v>
      </c>
    </row>
    <row r="17" spans="1:19" s="3" customFormat="1">
      <c r="A17" s="273" t="s">
        <v>17</v>
      </c>
      <c r="B17" s="274">
        <f>B16</f>
        <v>-18.718</v>
      </c>
      <c r="C17" s="275">
        <f t="shared" si="4"/>
        <v>-1.1055118110236219</v>
      </c>
      <c r="D17" s="377">
        <f>D16</f>
        <v>-8.89</v>
      </c>
      <c r="E17" s="363">
        <f t="shared" ref="E17" si="8">E16</f>
        <v>-3.7800000000000011</v>
      </c>
      <c r="F17" s="371">
        <f t="shared" si="1"/>
        <v>0.84520884520884521</v>
      </c>
      <c r="G17" s="274">
        <f>G16</f>
        <v>-24.42</v>
      </c>
      <c r="H17" s="276">
        <f t="shared" si="2"/>
        <v>6.7832194526090794E-2</v>
      </c>
      <c r="I17" s="274">
        <f>I16</f>
        <v>-26.197000000000003</v>
      </c>
      <c r="J17" s="276">
        <f t="shared" si="3"/>
        <v>0.1694039315155359</v>
      </c>
      <c r="K17" s="274">
        <f>K16</f>
        <v>-31.540000000000006</v>
      </c>
      <c r="L17" s="275">
        <f t="shared" si="5"/>
        <v>-0.37822812758743035</v>
      </c>
      <c r="M17" s="274">
        <f>M16</f>
        <v>-50.725999999999999</v>
      </c>
      <c r="N17" s="7"/>
      <c r="O17" s="7"/>
      <c r="P17" s="7"/>
      <c r="Q17" s="7"/>
      <c r="R17" s="7"/>
      <c r="S17" s="7"/>
    </row>
    <row r="18" spans="1:19" s="3" customFormat="1">
      <c r="A18" s="273" t="s">
        <v>142</v>
      </c>
      <c r="B18" s="274">
        <v>-161.80000000000001</v>
      </c>
      <c r="C18" s="275">
        <f t="shared" si="4"/>
        <v>-4.8674573854432301E-2</v>
      </c>
      <c r="D18" s="377">
        <f>D15+D17</f>
        <v>-154.28999999999968</v>
      </c>
      <c r="E18" s="363">
        <f t="shared" ref="E18" si="9">E15+E17</f>
        <v>421.12999999999818</v>
      </c>
      <c r="F18" s="371">
        <f t="shared" si="1"/>
        <v>0.33008022234856038</v>
      </c>
      <c r="G18" s="274">
        <f>G15+G17</f>
        <v>316.61999999999773</v>
      </c>
      <c r="H18" s="276">
        <f t="shared" si="2"/>
        <v>0.23795310385596746</v>
      </c>
      <c r="I18" s="274">
        <f>I15+I17</f>
        <v>255.76090000000164</v>
      </c>
      <c r="J18" s="276">
        <f t="shared" si="3"/>
        <v>0.11179605552006233</v>
      </c>
      <c r="K18" s="277">
        <f>SUM(K15:K16)</f>
        <v>230.04299999999995</v>
      </c>
      <c r="L18" s="275">
        <f t="shared" si="5"/>
        <v>0.47029911798541624</v>
      </c>
      <c r="M18" s="277">
        <f>SUM(M15:M16)</f>
        <v>156.46000000000117</v>
      </c>
      <c r="N18" s="7"/>
      <c r="O18" s="7"/>
      <c r="P18" s="7"/>
      <c r="Q18" s="7"/>
      <c r="R18" s="7"/>
      <c r="S18" s="7"/>
    </row>
    <row r="19" spans="1:19">
      <c r="A19" s="278" t="s">
        <v>18</v>
      </c>
      <c r="B19" s="283">
        <v>36.618000000000002</v>
      </c>
      <c r="C19" s="280">
        <f t="shared" si="4"/>
        <v>0.51564569536423854</v>
      </c>
      <c r="D19" s="382">
        <v>24.16</v>
      </c>
      <c r="E19" s="370">
        <v>-139.13</v>
      </c>
      <c r="F19" s="373">
        <f t="shared" si="1"/>
        <v>-3.7277268321777468E-2</v>
      </c>
      <c r="G19" s="283">
        <v>-134.13</v>
      </c>
      <c r="H19" s="282">
        <f t="shared" si="2"/>
        <v>-0.2389732031517009</v>
      </c>
      <c r="I19" s="283">
        <v>-108.259</v>
      </c>
      <c r="J19" s="282">
        <f t="shared" si="3"/>
        <v>-0.46736154409173447</v>
      </c>
      <c r="K19" s="283">
        <v>-73.778000000000006</v>
      </c>
      <c r="L19" s="280">
        <f t="shared" si="5"/>
        <v>0.58928956098401641</v>
      </c>
      <c r="M19" s="283">
        <v>-46.421999999999997</v>
      </c>
    </row>
    <row r="20" spans="1:19" s="3" customFormat="1" ht="20.399999999999999">
      <c r="A20" s="273" t="s">
        <v>19</v>
      </c>
      <c r="B20" s="274">
        <v>-125.1869999999999</v>
      </c>
      <c r="C20" s="275">
        <f t="shared" si="4"/>
        <v>3.79850918312441E-2</v>
      </c>
      <c r="D20" s="377">
        <f>D18+D19</f>
        <v>-130.12999999999968</v>
      </c>
      <c r="E20" s="363">
        <f t="shared" ref="E20" si="10">E18+E19</f>
        <v>281.99999999999818</v>
      </c>
      <c r="F20" s="371">
        <f t="shared" si="1"/>
        <v>0.54529015288509886</v>
      </c>
      <c r="G20" s="274">
        <f>G18+G19</f>
        <v>182.48999999999774</v>
      </c>
      <c r="H20" s="276">
        <f t="shared" si="2"/>
        <v>0.23720440211275728</v>
      </c>
      <c r="I20" s="274">
        <f>I18+I19</f>
        <v>147.50190000000163</v>
      </c>
      <c r="J20" s="276">
        <f t="shared" si="3"/>
        <v>-5.6048252911803154E-2</v>
      </c>
      <c r="K20" s="274">
        <v>156.26</v>
      </c>
      <c r="L20" s="275">
        <f t="shared" si="5"/>
        <v>0.42005489012884933</v>
      </c>
      <c r="M20" s="274">
        <f>M18+M19</f>
        <v>110.03800000000118</v>
      </c>
      <c r="N20" s="7"/>
      <c r="O20" s="7"/>
      <c r="P20" s="7"/>
      <c r="Q20" s="7"/>
      <c r="R20" s="7"/>
      <c r="S20" s="7"/>
    </row>
    <row r="21" spans="1:19" ht="20.399999999999999">
      <c r="A21" s="278" t="s">
        <v>20</v>
      </c>
      <c r="B21" s="279">
        <v>-3.488</v>
      </c>
      <c r="C21" s="280">
        <f t="shared" si="4"/>
        <v>0.73455098934550989</v>
      </c>
      <c r="D21" s="380">
        <v>-13.14</v>
      </c>
      <c r="E21" s="375">
        <v>4.3499999999999996</v>
      </c>
      <c r="F21" s="373">
        <f t="shared" si="1"/>
        <v>-0.83396946564885499</v>
      </c>
      <c r="G21" s="279">
        <v>26.2</v>
      </c>
      <c r="H21" s="282">
        <f t="shared" si="2"/>
        <v>0.34125115183782118</v>
      </c>
      <c r="I21" s="279">
        <v>19.533999999999999</v>
      </c>
      <c r="J21" s="282">
        <f t="shared" si="3"/>
        <v>-0.54253998735392617</v>
      </c>
      <c r="K21" s="279">
        <v>42.701000000000001</v>
      </c>
      <c r="L21" s="280">
        <f t="shared" si="5"/>
        <v>-0.13572975489303127</v>
      </c>
      <c r="M21" s="279">
        <v>49.406999999999996</v>
      </c>
    </row>
    <row r="22" spans="1:19" s="3" customFormat="1">
      <c r="A22" s="273" t="s">
        <v>21</v>
      </c>
      <c r="B22" s="274">
        <f>B20-B21</f>
        <v>-121.6989999999999</v>
      </c>
      <c r="C22" s="275">
        <f t="shared" si="4"/>
        <v>-4.0251303530218108E-2</v>
      </c>
      <c r="D22" s="377">
        <f>D20-D21</f>
        <v>-116.98999999999968</v>
      </c>
      <c r="E22" s="363">
        <f t="shared" ref="E22" si="11">E20-E21</f>
        <v>277.64999999999816</v>
      </c>
      <c r="F22" s="371">
        <f t="shared" si="1"/>
        <v>0.77650521466505951</v>
      </c>
      <c r="G22" s="274">
        <f>G20-G21</f>
        <v>156.28999999999775</v>
      </c>
      <c r="H22" s="276">
        <f t="shared" si="2"/>
        <v>0.22132190963511755</v>
      </c>
      <c r="I22" s="274">
        <f>I20-I21</f>
        <v>127.96790000000163</v>
      </c>
      <c r="J22" s="276">
        <f t="shared" si="3"/>
        <v>0.12688470310588884</v>
      </c>
      <c r="K22" s="274">
        <f>K20-K21</f>
        <v>113.559</v>
      </c>
      <c r="L22" s="275">
        <f t="shared" si="5"/>
        <v>0.87295277993102194</v>
      </c>
      <c r="M22" s="274">
        <f>M20-M21</f>
        <v>60.63100000000118</v>
      </c>
      <c r="N22" s="7"/>
      <c r="O22" s="7"/>
      <c r="P22" s="7"/>
      <c r="Q22" s="7"/>
      <c r="R22" s="7"/>
      <c r="S22" s="7"/>
    </row>
    <row r="23" spans="1:19">
      <c r="A23" s="273"/>
      <c r="B23" s="284"/>
      <c r="C23" s="275"/>
      <c r="D23" s="383"/>
      <c r="E23" s="284"/>
      <c r="F23" s="371"/>
      <c r="G23" s="284"/>
      <c r="H23" s="282"/>
      <c r="I23" s="284"/>
      <c r="J23" s="282"/>
      <c r="K23" s="284"/>
      <c r="L23" s="280"/>
      <c r="M23" s="284"/>
    </row>
    <row r="24" spans="1:19" s="3" customFormat="1">
      <c r="A24" s="273" t="s">
        <v>143</v>
      </c>
      <c r="B24" s="274">
        <f>B13</f>
        <v>-50.706999999999901</v>
      </c>
      <c r="C24" s="275">
        <f t="shared" si="4"/>
        <v>0.12134811990989114</v>
      </c>
      <c r="D24" s="377">
        <f>D13</f>
        <v>-57.709999999999681</v>
      </c>
      <c r="E24" s="363">
        <f t="shared" ref="E24" si="12">E13</f>
        <v>855.17999999999813</v>
      </c>
      <c r="F24" s="371">
        <f>IF((+E24/G24)&lt;0,"n.m.",IF(E24&lt;0,(+E24/G24-1)*-1,(+E24/G24-1)))</f>
        <v>4.7886288445044167E-2</v>
      </c>
      <c r="G24" s="274">
        <f>G13</f>
        <v>816.09999999999775</v>
      </c>
      <c r="H24" s="276">
        <f t="shared" si="2"/>
        <v>0.13356369451478778</v>
      </c>
      <c r="I24" s="274">
        <f>I13</f>
        <v>719.94190000000162</v>
      </c>
      <c r="J24" s="276">
        <f t="shared" si="3"/>
        <v>3.6014332688172779E-2</v>
      </c>
      <c r="K24" s="274">
        <f>K13</f>
        <v>694.91499999999996</v>
      </c>
      <c r="L24" s="275">
        <f t="shared" si="5"/>
        <v>0.14228722092728677</v>
      </c>
      <c r="M24" s="274">
        <f>M13</f>
        <v>608.35400000000118</v>
      </c>
      <c r="N24" s="7"/>
      <c r="O24" s="7"/>
      <c r="P24" s="7"/>
      <c r="Q24" s="7"/>
      <c r="R24" s="7"/>
      <c r="S24" s="7"/>
    </row>
    <row r="25" spans="1:19" s="19" customFormat="1">
      <c r="A25" s="285" t="s">
        <v>22</v>
      </c>
      <c r="B25" s="286">
        <f>B24/B4</f>
        <v>-2.2928936890822184E-2</v>
      </c>
      <c r="C25" s="275"/>
      <c r="D25" s="384">
        <f>D24/D4</f>
        <v>-2.7170305224551522E-2</v>
      </c>
      <c r="E25" s="366">
        <f t="shared" ref="E25" si="13">E24/E4</f>
        <v>6.8963570706247854E-2</v>
      </c>
      <c r="F25" s="371"/>
      <c r="G25" s="286">
        <f>G24/G4</f>
        <v>6.2186249378975531E-2</v>
      </c>
      <c r="H25" s="282"/>
      <c r="I25" s="286">
        <f>I24/I4</f>
        <v>5.77076603402479E-2</v>
      </c>
      <c r="J25" s="282"/>
      <c r="K25" s="286">
        <f>K24/K4</f>
        <v>5.6067974638361703E-2</v>
      </c>
      <c r="L25" s="275"/>
      <c r="M25" s="286">
        <f>M24/M4</f>
        <v>4.6856896121328269E-2</v>
      </c>
      <c r="N25" s="20"/>
      <c r="O25" s="20"/>
      <c r="P25" s="20"/>
      <c r="Q25" s="20"/>
      <c r="R25" s="20"/>
      <c r="S25" s="20"/>
    </row>
    <row r="26" spans="1:19" s="3" customFormat="1">
      <c r="A26" s="273" t="s">
        <v>132</v>
      </c>
      <c r="B26" s="274">
        <f>B15</f>
        <v>-143.0869999999999</v>
      </c>
      <c r="C26" s="275">
        <f t="shared" si="4"/>
        <v>1.590784044016369E-2</v>
      </c>
      <c r="D26" s="377">
        <f>D15</f>
        <v>-145.39999999999969</v>
      </c>
      <c r="E26" s="363">
        <f t="shared" ref="E26" si="14">E15</f>
        <v>424.90999999999815</v>
      </c>
      <c r="F26" s="371">
        <f>IF((+E26/G26)&lt;0,"n.m.",IF(E26&lt;0,(+E26/G26-1)*-1,(+E26/G26-1)))</f>
        <v>0.245924231761673</v>
      </c>
      <c r="G26" s="274">
        <f>G15</f>
        <v>341.03999999999775</v>
      </c>
      <c r="H26" s="276">
        <f t="shared" si="2"/>
        <v>0.20954227563758909</v>
      </c>
      <c r="I26" s="274">
        <f>I15</f>
        <v>281.95790000000164</v>
      </c>
      <c r="J26" s="276">
        <f t="shared" si="3"/>
        <v>7.7890765072660129E-2</v>
      </c>
      <c r="K26" s="274">
        <f>K15</f>
        <v>261.58299999999997</v>
      </c>
      <c r="L26" s="275">
        <f t="shared" si="5"/>
        <v>0.26255152375159757</v>
      </c>
      <c r="M26" s="274">
        <f>M15</f>
        <v>207.18600000000117</v>
      </c>
      <c r="N26" s="7"/>
      <c r="O26" s="7"/>
      <c r="P26" s="7"/>
      <c r="Q26" s="7"/>
      <c r="R26" s="7"/>
      <c r="S26" s="7"/>
    </row>
    <row r="27" spans="1:19" s="3" customFormat="1">
      <c r="A27" s="285" t="s">
        <v>22</v>
      </c>
      <c r="B27" s="286">
        <f>B26/B4</f>
        <v>-6.4701772790681331E-2</v>
      </c>
      <c r="C27" s="275"/>
      <c r="D27" s="384">
        <f>D26/D4</f>
        <v>-6.8455421584643988E-2</v>
      </c>
      <c r="E27" s="374">
        <f>E26/E4</f>
        <v>3.426566433825827E-2</v>
      </c>
      <c r="F27" s="371"/>
      <c r="G27" s="374">
        <f>G26/G4</f>
        <v>2.5987009543200261E-2</v>
      </c>
      <c r="H27" s="282"/>
      <c r="I27" s="286">
        <f>I26/I4</f>
        <v>2.26006164156436E-2</v>
      </c>
      <c r="J27" s="282"/>
      <c r="K27" s="286">
        <f>K26/K4</f>
        <v>2.1105356784393153E-2</v>
      </c>
      <c r="L27" s="275"/>
      <c r="M27" s="286">
        <f>M26/M4</f>
        <v>1.5957966709832686E-2</v>
      </c>
      <c r="N27" s="7"/>
      <c r="O27" s="7"/>
      <c r="P27" s="7"/>
      <c r="Q27" s="7"/>
      <c r="R27" s="7"/>
      <c r="S27" s="7"/>
    </row>
    <row r="28" spans="1:19" s="3" customFormat="1">
      <c r="A28" s="273" t="s">
        <v>23</v>
      </c>
      <c r="B28" s="287">
        <f>B22/B31*1000000</f>
        <v>-1.1861500974658861</v>
      </c>
      <c r="C28" s="275">
        <f t="shared" si="4"/>
        <v>-4.025130353021833E-2</v>
      </c>
      <c r="D28" s="385">
        <f>D22/D31*1000000</f>
        <v>-1.1402534113060399</v>
      </c>
      <c r="E28" s="363">
        <f t="shared" ref="E28" si="15">E22/E31*1000000</f>
        <v>2.7061403508771749</v>
      </c>
      <c r="F28" s="371">
        <f>IF((+E28/G28)&lt;0,"n.m.",IF(E28&lt;0,(+E28/G28-1)*-1,(+E28/G28-1)))</f>
        <v>0.77650521466505928</v>
      </c>
      <c r="G28" s="274">
        <f>G22/G31*1000000</f>
        <v>1.5232943469785356</v>
      </c>
      <c r="H28" s="276">
        <f t="shared" si="2"/>
        <v>0.22132190963511733</v>
      </c>
      <c r="I28" s="274">
        <f>I22/I31*1000000</f>
        <v>1.2472504873294508</v>
      </c>
      <c r="J28" s="276">
        <f t="shared" si="3"/>
        <v>0.12816809957331521</v>
      </c>
      <c r="K28" s="287">
        <f>K22/K31*1000000</f>
        <v>1.1055537626007805</v>
      </c>
      <c r="L28" s="275">
        <f t="shared" si="5"/>
        <v>0.89786768145948936</v>
      </c>
      <c r="M28" s="287">
        <f>M22/M31*1000000</f>
        <v>0.5825241524480741</v>
      </c>
      <c r="N28" s="7"/>
      <c r="O28" s="7"/>
      <c r="P28" s="7"/>
      <c r="Q28" s="7"/>
      <c r="R28" s="7"/>
      <c r="S28" s="7"/>
    </row>
    <row r="29" spans="1:19" s="19" customFormat="1" ht="20.399999999999999">
      <c r="A29" s="285" t="s">
        <v>24</v>
      </c>
      <c r="B29" s="286">
        <f>B22/B4</f>
        <v>-5.5030443344630371E-2</v>
      </c>
      <c r="C29" s="280"/>
      <c r="D29" s="384">
        <f>D22/D4</f>
        <v>-5.5079778343792955E-2</v>
      </c>
      <c r="E29" s="366">
        <f t="shared" ref="E29" si="16">E22/E4</f>
        <v>2.2390298424413139E-2</v>
      </c>
      <c r="F29" s="381"/>
      <c r="G29" s="286">
        <f>G22/G4</f>
        <v>1.1909188721284122E-2</v>
      </c>
      <c r="H29" s="286"/>
      <c r="I29" s="286">
        <f>I22/I4</f>
        <v>1.0257394530940465E-2</v>
      </c>
      <c r="J29" s="286"/>
      <c r="K29" s="286">
        <f>K22/K4</f>
        <v>9.1623049321970552E-3</v>
      </c>
      <c r="L29" s="286"/>
      <c r="M29" s="286">
        <f>M22/M4</f>
        <v>4.6699462298798134E-3</v>
      </c>
      <c r="N29" s="20"/>
      <c r="O29" s="20"/>
      <c r="P29" s="20"/>
      <c r="Q29" s="20"/>
      <c r="R29" s="20"/>
      <c r="S29" s="20"/>
    </row>
    <row r="30" spans="1:19" s="3" customFormat="1">
      <c r="A30" s="273"/>
      <c r="B30" s="288"/>
      <c r="C30" s="280"/>
      <c r="D30" s="353"/>
      <c r="E30" s="288"/>
      <c r="F30" s="378"/>
      <c r="G30" s="288"/>
      <c r="H30" s="288"/>
      <c r="I30" s="288"/>
      <c r="J30" s="288"/>
      <c r="K30" s="288"/>
      <c r="L30" s="288"/>
      <c r="M30" s="288"/>
      <c r="N30" s="7"/>
      <c r="O30" s="7"/>
      <c r="P30" s="7"/>
      <c r="Q30" s="7"/>
      <c r="R30" s="7"/>
      <c r="S30" s="7"/>
    </row>
    <row r="31" spans="1:19" ht="20.399999999999999">
      <c r="A31" s="278" t="s">
        <v>25</v>
      </c>
      <c r="B31" s="289">
        <v>102600000</v>
      </c>
      <c r="C31" s="280">
        <f t="shared" si="4"/>
        <v>0</v>
      </c>
      <c r="D31" s="354">
        <v>102600000</v>
      </c>
      <c r="E31" s="354">
        <v>102600000</v>
      </c>
      <c r="F31" s="381">
        <f>IF((+E31/G31)&lt;0,"n.m.",IF(E31&lt;0,(+E31/G31-1)*-1,(+E31/G31-1)))</f>
        <v>0</v>
      </c>
      <c r="G31" s="289">
        <v>102600000</v>
      </c>
      <c r="H31" s="282">
        <f t="shared" ref="H31" si="17">IF((+G31/I31)&lt;0,"n.m.",IF(G31&lt;0,(+G31/I31-1)*-1,(+G31/I31-1)))</f>
        <v>0</v>
      </c>
      <c r="I31" s="289">
        <v>102600000</v>
      </c>
      <c r="J31" s="282">
        <f t="shared" ref="J31" si="18">IF((+I31/K31)&lt;0,"n.m.",IF(I31&lt;0,(+I31/K31-1)*-1,(+I31/K31-1)))</f>
        <v>-1.1375932965234092E-3</v>
      </c>
      <c r="K31" s="289">
        <v>102716850</v>
      </c>
      <c r="L31" s="280">
        <f t="shared" si="5"/>
        <v>-1.3127839085867026E-2</v>
      </c>
      <c r="M31" s="290">
        <v>104083238</v>
      </c>
    </row>
    <row r="32" spans="1:19" s="3" customFormat="1">
      <c r="A32" s="273"/>
      <c r="B32" s="291"/>
      <c r="C32" s="284"/>
      <c r="D32" s="355"/>
      <c r="E32" s="291"/>
      <c r="F32" s="378"/>
      <c r="G32" s="291"/>
      <c r="H32" s="284"/>
      <c r="I32" s="291"/>
      <c r="J32" s="284"/>
      <c r="K32" s="291"/>
      <c r="L32" s="284"/>
      <c r="M32" s="284"/>
      <c r="N32" s="7"/>
      <c r="O32" s="7"/>
      <c r="P32" s="7"/>
      <c r="Q32" s="7"/>
      <c r="R32" s="7"/>
      <c r="S32" s="7"/>
    </row>
    <row r="33" spans="1:19">
      <c r="A33" s="278" t="s">
        <v>26</v>
      </c>
      <c r="B33" s="292" t="s">
        <v>44</v>
      </c>
      <c r="C33" s="293" t="s">
        <v>44</v>
      </c>
      <c r="D33" s="386" t="s">
        <v>44</v>
      </c>
      <c r="E33" s="376">
        <v>0.95</v>
      </c>
      <c r="F33" s="381">
        <f>IF((+E33/G33)&lt;0,"n.m.",IF(E33&lt;0,(+E33/G33-1)*-1,(+E33/G33-1)))</f>
        <v>0.46153846153846145</v>
      </c>
      <c r="G33" s="292">
        <v>0.65</v>
      </c>
      <c r="H33" s="282">
        <f t="shared" ref="H33:H35" si="19">IF((+G33/I33)&lt;0,"n.m.",IF(G33&lt;0,(+G33/I33-1)*-1,(+G33/I33-1)))</f>
        <v>0.30000000000000004</v>
      </c>
      <c r="I33" s="294">
        <v>0.5</v>
      </c>
      <c r="J33" s="282">
        <f t="shared" ref="J33" si="20">IF((+I33/K33)&lt;0,"n.m.",IF(I33&lt;0,(+I33/K33-1)*-1,(+I33/K33-1)))</f>
        <v>0.11111111111111116</v>
      </c>
      <c r="K33" s="294">
        <v>0.45</v>
      </c>
      <c r="L33" s="280">
        <f t="shared" si="5"/>
        <v>1.25</v>
      </c>
      <c r="M33" s="292">
        <v>0.2</v>
      </c>
    </row>
    <row r="34" spans="1:19">
      <c r="A34" s="278" t="s">
        <v>27</v>
      </c>
      <c r="B34" s="292" t="s">
        <v>44</v>
      </c>
      <c r="C34" s="293" t="s">
        <v>44</v>
      </c>
      <c r="D34" s="386" t="s">
        <v>44</v>
      </c>
      <c r="E34" s="367">
        <f t="shared" ref="E34" si="21">E33/E28</f>
        <v>0.35105348460291969</v>
      </c>
      <c r="F34" s="381">
        <f>IF((+E34/G34)&lt;0,"n.m.",IF(E34&lt;0,(+E34/G34-1)*-1,(+E34/G34-1)))</f>
        <v>-0.1772957098727016</v>
      </c>
      <c r="G34" s="295">
        <f>G33/G28</f>
        <v>0.42670676306866057</v>
      </c>
      <c r="H34" s="282">
        <f t="shared" si="19"/>
        <v>6.4420436368318734E-2</v>
      </c>
      <c r="I34" s="295">
        <f>I33/I28</f>
        <v>0.40088178363479698</v>
      </c>
      <c r="J34" s="296"/>
      <c r="K34" s="295">
        <f>K33/K28</f>
        <v>0.40703583599714693</v>
      </c>
      <c r="L34" s="296"/>
      <c r="M34" s="295">
        <f>M33/M28</f>
        <v>0.34333340370436899</v>
      </c>
    </row>
    <row r="35" spans="1:19">
      <c r="A35" s="278" t="s">
        <v>28</v>
      </c>
      <c r="B35" s="297">
        <v>-2.1999999999999999E-2</v>
      </c>
      <c r="C35" s="286"/>
      <c r="D35" s="357">
        <v>-2.1000000000000001E-2</v>
      </c>
      <c r="E35" s="387">
        <v>6.4000000000000001E-2</v>
      </c>
      <c r="F35" s="297"/>
      <c r="G35" s="297">
        <v>4.1000000000000002E-2</v>
      </c>
      <c r="H35" s="282">
        <f t="shared" si="19"/>
        <v>-4.6511627906976605E-2</v>
      </c>
      <c r="I35" s="297">
        <v>4.2999999999999997E-2</v>
      </c>
      <c r="J35" s="286"/>
      <c r="K35" s="297">
        <v>4.5999999999999999E-2</v>
      </c>
      <c r="L35" s="286"/>
      <c r="M35" s="286">
        <v>0.04</v>
      </c>
    </row>
    <row r="36" spans="1:19">
      <c r="A36" s="278"/>
      <c r="B36" s="298"/>
      <c r="C36" s="299"/>
      <c r="D36" s="299"/>
      <c r="E36" s="298"/>
      <c r="F36" s="298"/>
      <c r="G36" s="298"/>
      <c r="H36" s="299"/>
      <c r="I36" s="298"/>
      <c r="J36" s="299"/>
      <c r="K36" s="298"/>
      <c r="L36" s="299"/>
      <c r="M36" s="299"/>
    </row>
    <row r="37" spans="1:19" ht="31.8" customHeight="1">
      <c r="A37" s="300"/>
      <c r="B37" s="301"/>
      <c r="C37" s="531" t="s">
        <v>152</v>
      </c>
      <c r="D37" s="302"/>
      <c r="E37" s="301"/>
      <c r="F37" s="536" t="s">
        <v>153</v>
      </c>
      <c r="G37" s="301"/>
      <c r="H37" s="537" t="s">
        <v>147</v>
      </c>
      <c r="I37" s="542"/>
      <c r="J37" s="537" t="s">
        <v>29</v>
      </c>
      <c r="K37" s="301"/>
      <c r="L37" s="537" t="s">
        <v>30</v>
      </c>
      <c r="M37" s="301"/>
    </row>
    <row r="38" spans="1:19" s="3" customFormat="1">
      <c r="A38" s="303" t="s">
        <v>31</v>
      </c>
      <c r="B38" s="304">
        <f>SUM(B39:B47)</f>
        <v>4173.116</v>
      </c>
      <c r="C38" s="532">
        <f>B38/$B$71</f>
        <v>0.41688162828858322</v>
      </c>
      <c r="D38" s="519">
        <f>SUM(D39:D47)</f>
        <v>4282.0200000000004</v>
      </c>
      <c r="E38" s="388">
        <f t="shared" ref="E38" si="22">SUM(E39:E47)</f>
        <v>4129.93</v>
      </c>
      <c r="F38" s="305">
        <f>E38/$E$71</f>
        <v>0.39793475108422199</v>
      </c>
      <c r="G38" s="304">
        <f>SUM(G39:G47)</f>
        <v>4284.0700000000006</v>
      </c>
      <c r="H38" s="538">
        <f>G38/$G$71</f>
        <v>0.39930300208689273</v>
      </c>
      <c r="I38" s="518">
        <f>SUM(I39:I47)</f>
        <v>4506.4569999999994</v>
      </c>
      <c r="J38" s="538">
        <f>I38/$I$71</f>
        <v>0.43856165973985978</v>
      </c>
      <c r="K38" s="518">
        <v>4416.29</v>
      </c>
      <c r="L38" s="538">
        <f>K38/$K$71</f>
        <v>0.41817787736205031</v>
      </c>
      <c r="M38" s="526">
        <f>SUM(M39:M47)</f>
        <v>4546.4570000000003</v>
      </c>
      <c r="N38" s="7"/>
      <c r="O38" s="7"/>
      <c r="P38" s="7"/>
      <c r="Q38" s="7"/>
      <c r="R38" s="7"/>
      <c r="S38" s="7"/>
    </row>
    <row r="39" spans="1:19">
      <c r="A39" s="278" t="s">
        <v>32</v>
      </c>
      <c r="B39" s="528">
        <v>498.12</v>
      </c>
      <c r="C39" s="533">
        <f t="shared" ref="C39:C71" si="23">B39/$B$71</f>
        <v>4.9760676837909391E-2</v>
      </c>
      <c r="D39" s="520">
        <v>509.35</v>
      </c>
      <c r="E39" s="389">
        <v>496.4</v>
      </c>
      <c r="F39" s="307">
        <f t="shared" ref="F39:F71" si="24">E39/$E$71</f>
        <v>4.7830062601111341E-2</v>
      </c>
      <c r="G39" s="528">
        <v>510.8</v>
      </c>
      <c r="H39" s="539">
        <f t="shared" ref="H39:H71" si="25">G39/$G$71</f>
        <v>4.7609860125064435E-2</v>
      </c>
      <c r="I39" s="529">
        <v>535.72500000000002</v>
      </c>
      <c r="J39" s="539">
        <f t="shared" ref="J39:J71" si="26">I39/$I$71</f>
        <v>5.2135956287641581E-2</v>
      </c>
      <c r="K39" s="528">
        <v>501.78800000000001</v>
      </c>
      <c r="L39" s="539">
        <f t="shared" ref="L39:L71" si="27">K39/$K$71</f>
        <v>4.7514234963226716E-2</v>
      </c>
      <c r="M39" s="523">
        <v>530.36099999999999</v>
      </c>
    </row>
    <row r="40" spans="1:19">
      <c r="A40" s="278" t="s">
        <v>33</v>
      </c>
      <c r="B40" s="528">
        <v>1918.0820000000001</v>
      </c>
      <c r="C40" s="533">
        <f t="shared" si="23"/>
        <v>0.19161057285515723</v>
      </c>
      <c r="D40" s="520">
        <v>1863.45</v>
      </c>
      <c r="E40" s="389">
        <v>1927.74</v>
      </c>
      <c r="F40" s="307">
        <f t="shared" si="24"/>
        <v>0.18574521530754712</v>
      </c>
      <c r="G40" s="528">
        <v>1881.52</v>
      </c>
      <c r="H40" s="539">
        <f>G40/$G$71</f>
        <v>0.17536981993443859</v>
      </c>
      <c r="I40" s="529">
        <v>2015.0609999999999</v>
      </c>
      <c r="J40" s="539">
        <f t="shared" si="26"/>
        <v>0.19610272474297694</v>
      </c>
      <c r="K40" s="528">
        <v>2145.5169999999998</v>
      </c>
      <c r="L40" s="539">
        <f t="shared" si="27"/>
        <v>0.2031587021921554</v>
      </c>
      <c r="M40" s="523">
        <v>2225.5720000000001</v>
      </c>
    </row>
    <row r="41" spans="1:19">
      <c r="A41" s="278" t="s">
        <v>34</v>
      </c>
      <c r="B41" s="528">
        <v>7.7969999999999997</v>
      </c>
      <c r="C41" s="533">
        <f t="shared" si="23"/>
        <v>7.7889664599931638E-4</v>
      </c>
      <c r="D41" s="520">
        <v>13.23</v>
      </c>
      <c r="E41" s="389">
        <v>7.92</v>
      </c>
      <c r="F41" s="307">
        <f t="shared" si="24"/>
        <v>7.631226748606E-4</v>
      </c>
      <c r="G41" s="528">
        <v>13.82</v>
      </c>
      <c r="H41" s="539">
        <f t="shared" si="25"/>
        <v>1.2881132868605922E-3</v>
      </c>
      <c r="I41" s="529">
        <v>33.773000000000003</v>
      </c>
      <c r="J41" s="539">
        <f t="shared" si="26"/>
        <v>3.2867378817537343E-3</v>
      </c>
      <c r="K41" s="528">
        <v>36.893999999999998</v>
      </c>
      <c r="L41" s="539">
        <f t="shared" si="27"/>
        <v>3.4934876576029842E-3</v>
      </c>
      <c r="M41" s="523">
        <v>41.667000000000002</v>
      </c>
    </row>
    <row r="42" spans="1:19">
      <c r="A42" s="278" t="s">
        <v>35</v>
      </c>
      <c r="B42" s="528">
        <v>355.49599999999998</v>
      </c>
      <c r="C42" s="533">
        <f t="shared" si="23"/>
        <v>3.551297192076093E-2</v>
      </c>
      <c r="D42" s="520">
        <v>369.53</v>
      </c>
      <c r="E42" s="389">
        <v>347.61</v>
      </c>
      <c r="F42" s="307">
        <f t="shared" si="24"/>
        <v>3.3493569824279444E-2</v>
      </c>
      <c r="G42" s="528">
        <v>373.42</v>
      </c>
      <c r="H42" s="539">
        <f t="shared" si="25"/>
        <v>3.480515655423172E-2</v>
      </c>
      <c r="I42" s="529">
        <v>401.62200000000001</v>
      </c>
      <c r="J42" s="539">
        <f t="shared" si="26"/>
        <v>3.9085252762434436E-2</v>
      </c>
      <c r="K42" s="528">
        <v>371.596</v>
      </c>
      <c r="L42" s="539">
        <f t="shared" si="27"/>
        <v>3.5186372841509148E-2</v>
      </c>
      <c r="M42" s="523">
        <v>379.12200000000001</v>
      </c>
    </row>
    <row r="43" spans="1:19">
      <c r="A43" s="278" t="s">
        <v>36</v>
      </c>
      <c r="B43" s="528">
        <v>168.91200000000001</v>
      </c>
      <c r="C43" s="533">
        <f t="shared" si="23"/>
        <v>1.6873796366427669E-2</v>
      </c>
      <c r="D43" s="520">
        <v>197.28</v>
      </c>
      <c r="E43" s="389">
        <v>166.73</v>
      </c>
      <c r="F43" s="307">
        <f t="shared" si="24"/>
        <v>1.6065081260038867E-2</v>
      </c>
      <c r="G43" s="528">
        <v>201.9</v>
      </c>
      <c r="H43" s="539">
        <f t="shared" si="25"/>
        <v>1.8818384415134122E-2</v>
      </c>
      <c r="I43" s="529">
        <v>232.64400000000001</v>
      </c>
      <c r="J43" s="539">
        <f t="shared" si="26"/>
        <v>2.2640566362559313E-2</v>
      </c>
      <c r="K43" s="528">
        <v>235.4</v>
      </c>
      <c r="L43" s="539">
        <f t="shared" si="27"/>
        <v>2.2289992806411411E-2</v>
      </c>
      <c r="M43" s="523">
        <v>250.292</v>
      </c>
    </row>
    <row r="44" spans="1:19">
      <c r="A44" s="278" t="s">
        <v>37</v>
      </c>
      <c r="B44" s="528">
        <v>676.07500000000005</v>
      </c>
      <c r="C44" s="533">
        <f t="shared" si="23"/>
        <v>6.7537841470307544E-2</v>
      </c>
      <c r="D44" s="520">
        <v>694.71</v>
      </c>
      <c r="E44" s="389">
        <v>683.49</v>
      </c>
      <c r="F44" s="307">
        <f t="shared" si="24"/>
        <v>6.5856908717231252E-2</v>
      </c>
      <c r="G44" s="528">
        <v>710.25</v>
      </c>
      <c r="H44" s="539">
        <f t="shared" si="25"/>
        <v>6.6199888711485938E-2</v>
      </c>
      <c r="I44" s="529">
        <v>728.79</v>
      </c>
      <c r="J44" s="539">
        <f t="shared" si="26"/>
        <v>7.0924753526287382E-2</v>
      </c>
      <c r="K44" s="528">
        <v>780.62800000000004</v>
      </c>
      <c r="L44" s="539">
        <f t="shared" si="27"/>
        <v>7.3917555244194244E-2</v>
      </c>
      <c r="M44" s="523">
        <v>782.56700000000001</v>
      </c>
    </row>
    <row r="45" spans="1:19">
      <c r="A45" s="278" t="s">
        <v>38</v>
      </c>
      <c r="B45" s="529" t="s">
        <v>44</v>
      </c>
      <c r="C45" s="534" t="s">
        <v>44</v>
      </c>
      <c r="D45" s="520">
        <v>72.91</v>
      </c>
      <c r="E45" s="389">
        <v>0</v>
      </c>
      <c r="F45" s="307">
        <f t="shared" si="24"/>
        <v>0</v>
      </c>
      <c r="G45" s="528">
        <v>75.09</v>
      </c>
      <c r="H45" s="539">
        <f t="shared" si="25"/>
        <v>6.9988731338901499E-3</v>
      </c>
      <c r="I45" s="529">
        <v>72.509</v>
      </c>
      <c r="J45" s="539">
        <f t="shared" si="26"/>
        <v>7.056467505643013E-3</v>
      </c>
      <c r="K45" s="528">
        <v>72.578000000000003</v>
      </c>
      <c r="L45" s="539">
        <f t="shared" si="27"/>
        <v>6.8724005858272191E-3</v>
      </c>
      <c r="M45" s="523">
        <v>91.426000000000002</v>
      </c>
    </row>
    <row r="46" spans="1:19" ht="20.399999999999999">
      <c r="A46" s="278" t="s">
        <v>39</v>
      </c>
      <c r="B46" s="528">
        <v>254.13399999999999</v>
      </c>
      <c r="C46" s="533">
        <f t="shared" si="23"/>
        <v>2.5387215625803549E-2</v>
      </c>
      <c r="D46" s="520">
        <v>227.86</v>
      </c>
      <c r="E46" s="389">
        <v>254.22</v>
      </c>
      <c r="F46" s="307">
        <f t="shared" si="24"/>
        <v>2.44950816165482E-2</v>
      </c>
      <c r="G46" s="528">
        <v>225.34</v>
      </c>
      <c r="H46" s="539">
        <f t="shared" si="25"/>
        <v>2.1003143853919382E-2</v>
      </c>
      <c r="I46" s="529">
        <v>208.21</v>
      </c>
      <c r="J46" s="539">
        <f t="shared" si="26"/>
        <v>2.0262686002426346E-2</v>
      </c>
      <c r="K46" s="528">
        <v>54.5</v>
      </c>
      <c r="L46" s="539">
        <f t="shared" si="27"/>
        <v>5.1605973149932956E-3</v>
      </c>
      <c r="M46" s="523">
        <f>12.009+35.824</f>
        <v>47.832999999999998</v>
      </c>
    </row>
    <row r="47" spans="1:19">
      <c r="A47" s="278" t="s">
        <v>40</v>
      </c>
      <c r="B47" s="528">
        <v>294.5</v>
      </c>
      <c r="C47" s="533">
        <f t="shared" si="23"/>
        <v>2.9419656566217606E-2</v>
      </c>
      <c r="D47" s="520">
        <v>333.7</v>
      </c>
      <c r="E47" s="389">
        <v>245.82</v>
      </c>
      <c r="F47" s="307">
        <f t="shared" si="24"/>
        <v>2.3685709082605137E-2</v>
      </c>
      <c r="G47" s="528">
        <v>291.93</v>
      </c>
      <c r="H47" s="539">
        <f t="shared" si="25"/>
        <v>2.7209762071867778E-2</v>
      </c>
      <c r="I47" s="529">
        <v>278.12299999999999</v>
      </c>
      <c r="J47" s="539">
        <f t="shared" si="26"/>
        <v>2.7066514668137084E-2</v>
      </c>
      <c r="K47" s="528">
        <v>217.28800000000001</v>
      </c>
      <c r="L47" s="539">
        <f t="shared" si="27"/>
        <v>2.0574970080371804E-2</v>
      </c>
      <c r="M47" s="523">
        <v>197.61699999999999</v>
      </c>
    </row>
    <row r="48" spans="1:19" s="3" customFormat="1">
      <c r="A48" s="273" t="s">
        <v>41</v>
      </c>
      <c r="B48" s="304">
        <f>SUM(B49:B54)</f>
        <v>5837.1890000000003</v>
      </c>
      <c r="C48" s="532">
        <f>B48/$B$71</f>
        <v>0.58311747263872049</v>
      </c>
      <c r="D48" s="521">
        <f>SUM(D49:D54)</f>
        <v>5619.5300000000007</v>
      </c>
      <c r="E48" s="388">
        <f t="shared" ref="E48" si="28">SUM(E49:E54)</f>
        <v>6248.4800000000005</v>
      </c>
      <c r="F48" s="305">
        <f t="shared" si="24"/>
        <v>0.60206524891577806</v>
      </c>
      <c r="G48" s="304">
        <f>SUM(G49:G54)</f>
        <v>6444.8</v>
      </c>
      <c r="H48" s="538">
        <f t="shared" si="25"/>
        <v>0.60069699791310738</v>
      </c>
      <c r="I48" s="529">
        <f>SUM(I49:I54)</f>
        <v>5769.0820000000003</v>
      </c>
      <c r="J48" s="538">
        <f t="shared" si="26"/>
        <v>0.56143843757864553</v>
      </c>
      <c r="K48" s="518">
        <v>6144.5</v>
      </c>
      <c r="L48" s="538">
        <f t="shared" si="27"/>
        <v>0.58182183856837255</v>
      </c>
      <c r="M48" s="526">
        <f>SUM(M49:M53)</f>
        <v>5591.232</v>
      </c>
      <c r="N48" s="7"/>
      <c r="O48" s="7"/>
      <c r="P48" s="7"/>
      <c r="Q48" s="7"/>
      <c r="R48" s="7"/>
      <c r="S48" s="7"/>
    </row>
    <row r="49" spans="1:19">
      <c r="A49" s="278" t="s">
        <v>42</v>
      </c>
      <c r="B49" s="528">
        <v>1242.502</v>
      </c>
      <c r="C49" s="533">
        <f t="shared" si="23"/>
        <v>0.12412218038315283</v>
      </c>
      <c r="D49" s="520">
        <v>843.19</v>
      </c>
      <c r="E49" s="393">
        <v>1182.81</v>
      </c>
      <c r="F49" s="307">
        <f t="shared" si="24"/>
        <v>0.11396832462776089</v>
      </c>
      <c r="G49" s="528">
        <v>801.7</v>
      </c>
      <c r="H49" s="539">
        <f t="shared" si="25"/>
        <v>7.4723619542412217E-2</v>
      </c>
      <c r="I49" s="529">
        <v>849.4</v>
      </c>
      <c r="J49" s="539">
        <f t="shared" si="26"/>
        <v>8.2662338458579968E-2</v>
      </c>
      <c r="K49" s="528">
        <v>1104.9780000000001</v>
      </c>
      <c r="L49" s="539">
        <f t="shared" si="27"/>
        <v>0.10463021100782867</v>
      </c>
      <c r="M49" s="523">
        <v>1031.557</v>
      </c>
    </row>
    <row r="50" spans="1:19">
      <c r="A50" s="278" t="s">
        <v>37</v>
      </c>
      <c r="B50" s="528">
        <v>31.797999999999998</v>
      </c>
      <c r="C50" s="533">
        <f t="shared" si="23"/>
        <v>3.1765237334213494E-3</v>
      </c>
      <c r="D50" s="520">
        <v>29.4</v>
      </c>
      <c r="E50" s="393">
        <v>31.18</v>
      </c>
      <c r="F50" s="307">
        <f t="shared" si="24"/>
        <v>3.0043137628981702E-3</v>
      </c>
      <c r="G50" s="528">
        <v>28.83</v>
      </c>
      <c r="H50" s="539">
        <f t="shared" si="25"/>
        <v>2.6871422619530296E-3</v>
      </c>
      <c r="I50" s="529">
        <v>26.654</v>
      </c>
      <c r="J50" s="539">
        <f t="shared" si="26"/>
        <v>2.5939274420473165E-3</v>
      </c>
      <c r="K50" s="528">
        <v>24.643000000000001</v>
      </c>
      <c r="L50" s="539">
        <f t="shared" si="27"/>
        <v>2.3334421951078863E-3</v>
      </c>
      <c r="M50" s="523">
        <v>22.785</v>
      </c>
    </row>
    <row r="51" spans="1:19">
      <c r="A51" s="278" t="s">
        <v>38</v>
      </c>
      <c r="B51" s="528">
        <v>2211.607</v>
      </c>
      <c r="C51" s="533">
        <f t="shared" si="23"/>
        <v>0.22093282987926255</v>
      </c>
      <c r="D51" s="520">
        <v>2065.0300000000002</v>
      </c>
      <c r="E51" s="393">
        <v>2444.4</v>
      </c>
      <c r="F51" s="307">
        <f t="shared" si="24"/>
        <v>0.23552740737743066</v>
      </c>
      <c r="G51" s="528">
        <v>2317.88</v>
      </c>
      <c r="H51" s="539">
        <f t="shared" si="25"/>
        <v>0.21604139112506726</v>
      </c>
      <c r="I51" s="529">
        <v>2473.5590000000002</v>
      </c>
      <c r="J51" s="539">
        <f t="shared" si="26"/>
        <v>0.24072306481665487</v>
      </c>
      <c r="K51" s="528">
        <v>2697.645</v>
      </c>
      <c r="L51" s="539">
        <f t="shared" si="27"/>
        <v>0.25543962465697412</v>
      </c>
      <c r="M51" s="523">
        <v>2535.4690000000001</v>
      </c>
    </row>
    <row r="52" spans="1:19" ht="20.399999999999999">
      <c r="A52" s="278" t="s">
        <v>39</v>
      </c>
      <c r="B52" s="528">
        <f>125.317+111.898+350.218</f>
        <v>587.43299999999999</v>
      </c>
      <c r="C52" s="533">
        <f t="shared" si="23"/>
        <v>5.868277458629171E-2</v>
      </c>
      <c r="D52" s="520">
        <v>520.32000000000005</v>
      </c>
      <c r="E52" s="393">
        <v>586.82999999999993</v>
      </c>
      <c r="F52" s="307">
        <f t="shared" si="24"/>
        <v>5.6543343344500743E-2</v>
      </c>
      <c r="G52" s="528">
        <v>494.06</v>
      </c>
      <c r="H52" s="539">
        <f t="shared" si="25"/>
        <v>4.6049583972962674E-2</v>
      </c>
      <c r="I52" s="529">
        <f>495.45</f>
        <v>495.45</v>
      </c>
      <c r="J52" s="539">
        <f t="shared" si="26"/>
        <v>4.8216453483992755E-2</v>
      </c>
      <c r="K52" s="528">
        <f>605.26</f>
        <v>605.26</v>
      </c>
      <c r="L52" s="539">
        <f t="shared" si="27"/>
        <v>5.7311984052712699E-2</v>
      </c>
      <c r="M52" s="523">
        <f>106.372+520.094</f>
        <v>626.46600000000001</v>
      </c>
    </row>
    <row r="53" spans="1:19">
      <c r="A53" s="278" t="s">
        <v>43</v>
      </c>
      <c r="B53" s="528">
        <v>1763.8489999999999</v>
      </c>
      <c r="C53" s="533">
        <f t="shared" si="23"/>
        <v>0.17620316405659206</v>
      </c>
      <c r="D53" s="520">
        <v>2091.59</v>
      </c>
      <c r="E53" s="393">
        <v>2003.26</v>
      </c>
      <c r="F53" s="307">
        <f t="shared" si="24"/>
        <v>0.19302185980318759</v>
      </c>
      <c r="G53" s="528">
        <v>2732.33</v>
      </c>
      <c r="H53" s="539">
        <f t="shared" si="25"/>
        <v>0.25467080876178017</v>
      </c>
      <c r="I53" s="529">
        <v>1924.019</v>
      </c>
      <c r="J53" s="539">
        <f t="shared" si="26"/>
        <v>0.18724265337737059</v>
      </c>
      <c r="K53" s="528">
        <v>1711.9680000000001</v>
      </c>
      <c r="L53" s="539">
        <f t="shared" si="27"/>
        <v>0.16210600851659529</v>
      </c>
      <c r="M53" s="523">
        <v>1374.9549999999999</v>
      </c>
    </row>
    <row r="54" spans="1:19">
      <c r="A54" s="278" t="s">
        <v>148</v>
      </c>
      <c r="B54" s="309">
        <v>0</v>
      </c>
      <c r="C54" s="533">
        <f t="shared" si="23"/>
        <v>0</v>
      </c>
      <c r="D54" s="522">
        <v>70</v>
      </c>
      <c r="E54" s="390">
        <v>0</v>
      </c>
      <c r="F54" s="307">
        <f t="shared" si="24"/>
        <v>0</v>
      </c>
      <c r="G54" s="309">
        <v>70</v>
      </c>
      <c r="H54" s="539">
        <f t="shared" si="25"/>
        <v>6.5244522489320876E-3</v>
      </c>
      <c r="I54" s="529">
        <v>0</v>
      </c>
      <c r="J54" s="539">
        <f>I54/$I$71</f>
        <v>0</v>
      </c>
      <c r="K54" s="528">
        <v>0</v>
      </c>
      <c r="L54" s="539">
        <f>K54/$K$71</f>
        <v>0</v>
      </c>
      <c r="M54" s="523"/>
    </row>
    <row r="55" spans="1:19" s="3" customFormat="1">
      <c r="A55" s="273" t="s">
        <v>45</v>
      </c>
      <c r="B55" s="304">
        <v>3154.14</v>
      </c>
      <c r="C55" s="532">
        <f t="shared" si="23"/>
        <v>0.31508901718767268</v>
      </c>
      <c r="D55" s="521">
        <f>SUM(D56:D59)</f>
        <v>3184.67</v>
      </c>
      <c r="E55" s="388">
        <f t="shared" ref="E55" si="29">SUM(E56:E59)</f>
        <v>3264.59</v>
      </c>
      <c r="F55" s="305">
        <f t="shared" si="24"/>
        <v>0.31455589054585437</v>
      </c>
      <c r="G55" s="304">
        <f>SUM(G56:G59)</f>
        <v>3320.63</v>
      </c>
      <c r="H55" s="538">
        <f t="shared" si="25"/>
        <v>0.3095041695910194</v>
      </c>
      <c r="I55" s="518">
        <f>SUM(I56:I59)</f>
        <v>3144.3</v>
      </c>
      <c r="J55" s="538">
        <f t="shared" si="26"/>
        <v>0.30599857642490352</v>
      </c>
      <c r="K55" s="518">
        <f>3238.76</f>
        <v>3238.76</v>
      </c>
      <c r="L55" s="538">
        <f t="shared" si="27"/>
        <v>0.30667772770472823</v>
      </c>
      <c r="M55" s="526">
        <f>SUM(M56:M59)</f>
        <v>3162.5420000000004</v>
      </c>
      <c r="N55" s="7"/>
      <c r="O55" s="7"/>
      <c r="P55" s="7"/>
      <c r="Q55" s="7"/>
      <c r="R55" s="7"/>
      <c r="S55" s="7"/>
    </row>
    <row r="56" spans="1:19">
      <c r="A56" s="278" t="s">
        <v>46</v>
      </c>
      <c r="B56" s="528">
        <v>110</v>
      </c>
      <c r="C56" s="533">
        <f t="shared" si="23"/>
        <v>1.098866628958892E-2</v>
      </c>
      <c r="D56" s="520">
        <v>114</v>
      </c>
      <c r="E56" s="391">
        <v>110</v>
      </c>
      <c r="F56" s="307">
        <f t="shared" si="24"/>
        <v>1.0598926039730555E-2</v>
      </c>
      <c r="G56" s="528">
        <v>114</v>
      </c>
      <c r="H56" s="539">
        <f t="shared" si="25"/>
        <v>1.0625536519689401E-2</v>
      </c>
      <c r="I56" s="529">
        <v>114</v>
      </c>
      <c r="J56" s="539">
        <f t="shared" si="26"/>
        <v>1.1094309611817892E-2</v>
      </c>
      <c r="K56" s="528">
        <v>114</v>
      </c>
      <c r="L56" s="539">
        <f t="shared" si="27"/>
        <v>1.0794643924940105E-2</v>
      </c>
      <c r="M56" s="523">
        <v>114</v>
      </c>
    </row>
    <row r="57" spans="1:19">
      <c r="A57" s="278" t="s">
        <v>47</v>
      </c>
      <c r="B57" s="528">
        <v>2315.384</v>
      </c>
      <c r="C57" s="533">
        <f t="shared" si="23"/>
        <v>0.23129983734775955</v>
      </c>
      <c r="D57" s="520">
        <v>2311.38</v>
      </c>
      <c r="E57" s="391">
        <v>2315.38</v>
      </c>
      <c r="F57" s="307">
        <f t="shared" si="24"/>
        <v>0.22309583067155761</v>
      </c>
      <c r="G57" s="528">
        <v>2311.38</v>
      </c>
      <c r="H57" s="539">
        <f t="shared" si="25"/>
        <v>0.21543554913052357</v>
      </c>
      <c r="I57" s="529">
        <v>2311.384</v>
      </c>
      <c r="J57" s="539">
        <f t="shared" si="26"/>
        <v>0.22494043620879023</v>
      </c>
      <c r="K57" s="528">
        <v>2311.384</v>
      </c>
      <c r="L57" s="539">
        <f t="shared" si="27"/>
        <v>0.21886462503336632</v>
      </c>
      <c r="M57" s="523">
        <v>2311.384</v>
      </c>
    </row>
    <row r="58" spans="1:19">
      <c r="A58" s="278" t="s">
        <v>48</v>
      </c>
      <c r="B58" s="528">
        <v>654.29200000000003</v>
      </c>
      <c r="C58" s="533">
        <f t="shared" si="23"/>
        <v>6.5361785854070126E-2</v>
      </c>
      <c r="D58" s="520">
        <v>491.19</v>
      </c>
      <c r="E58" s="391">
        <v>760.66</v>
      </c>
      <c r="F58" s="307">
        <f t="shared" si="24"/>
        <v>7.3292537103467684E-2</v>
      </c>
      <c r="G58" s="528">
        <v>613.65</v>
      </c>
      <c r="H58" s="539">
        <f t="shared" si="25"/>
        <v>5.7196144607959645E-2</v>
      </c>
      <c r="I58" s="529">
        <v>459.32799999999997</v>
      </c>
      <c r="J58" s="539">
        <f t="shared" si="26"/>
        <v>4.4701114433132356E-2</v>
      </c>
      <c r="K58" s="528">
        <v>491.60399999999998</v>
      </c>
      <c r="L58" s="539">
        <f t="shared" si="27"/>
        <v>4.6549913439265393E-2</v>
      </c>
      <c r="M58" s="523">
        <v>436.13</v>
      </c>
    </row>
    <row r="59" spans="1:19">
      <c r="A59" s="278" t="s">
        <v>49</v>
      </c>
      <c r="B59" s="528">
        <v>74.47</v>
      </c>
      <c r="C59" s="533">
        <f t="shared" si="23"/>
        <v>7.4393270780516987E-3</v>
      </c>
      <c r="D59" s="520">
        <v>268.10000000000002</v>
      </c>
      <c r="E59" s="391">
        <v>78.55</v>
      </c>
      <c r="F59" s="307">
        <f t="shared" si="24"/>
        <v>7.5685967310985015E-3</v>
      </c>
      <c r="G59" s="528">
        <v>281.60000000000002</v>
      </c>
      <c r="H59" s="539">
        <f t="shared" si="25"/>
        <v>2.6246939332846799E-2</v>
      </c>
      <c r="I59" s="529">
        <v>259.58800000000002</v>
      </c>
      <c r="J59" s="539">
        <f t="shared" si="26"/>
        <v>2.5262716171163008E-2</v>
      </c>
      <c r="K59" s="528">
        <v>321.78100000000001</v>
      </c>
      <c r="L59" s="539">
        <f t="shared" si="27"/>
        <v>3.0469397515887297E-2</v>
      </c>
      <c r="M59" s="523">
        <v>301.02800000000002</v>
      </c>
    </row>
    <row r="60" spans="1:19" s="3" customFormat="1">
      <c r="A60" s="273" t="s">
        <v>50</v>
      </c>
      <c r="B60" s="304">
        <v>2421.2600000000002</v>
      </c>
      <c r="C60" s="532">
        <f t="shared" si="23"/>
        <v>0.24187652854845518</v>
      </c>
      <c r="D60" s="521">
        <f>SUM(D61:D65)</f>
        <v>2500.79</v>
      </c>
      <c r="E60" s="388">
        <f t="shared" ref="E60" si="30">SUM(E61:E65)</f>
        <v>2420.4</v>
      </c>
      <c r="F60" s="305">
        <f t="shared" si="24"/>
        <v>0.23321491442330763</v>
      </c>
      <c r="G60" s="304">
        <f>SUM(G61:G65)</f>
        <v>2519.25</v>
      </c>
      <c r="H60" s="538">
        <f t="shared" si="25"/>
        <v>0.23481037611603089</v>
      </c>
      <c r="I60" s="518">
        <f>SUM(I61:I65)</f>
        <v>2408.6949999999997</v>
      </c>
      <c r="J60" s="538">
        <f t="shared" si="26"/>
        <v>0.23441059728454117</v>
      </c>
      <c r="K60" s="518">
        <f>2465.8</f>
        <v>2465.8000000000002</v>
      </c>
      <c r="L60" s="538">
        <f t="shared" si="27"/>
        <v>0.23348625429927466</v>
      </c>
      <c r="M60" s="526">
        <f>SUM(M61:M65)</f>
        <v>2431.9159999999997</v>
      </c>
      <c r="N60" s="7"/>
      <c r="O60" s="7"/>
      <c r="P60" s="7"/>
      <c r="Q60" s="7"/>
      <c r="R60" s="7"/>
      <c r="S60" s="7"/>
    </row>
    <row r="61" spans="1:19">
      <c r="A61" s="278" t="s">
        <v>51</v>
      </c>
      <c r="B61" s="528">
        <v>1113.5409999999999</v>
      </c>
      <c r="C61" s="533">
        <f t="shared" si="23"/>
        <v>0.11123936771613759</v>
      </c>
      <c r="D61" s="520">
        <v>1085.81</v>
      </c>
      <c r="E61" s="392">
        <v>1111.73</v>
      </c>
      <c r="F61" s="307">
        <f t="shared" si="24"/>
        <v>0.1071194913286332</v>
      </c>
      <c r="G61" s="528">
        <v>1093.3800000000001</v>
      </c>
      <c r="H61" s="539">
        <f t="shared" si="25"/>
        <v>0.10191007999910524</v>
      </c>
      <c r="I61" s="529">
        <v>1121.6089999999999</v>
      </c>
      <c r="J61" s="539">
        <f t="shared" si="26"/>
        <v>0.10915331148597765</v>
      </c>
      <c r="K61" s="528">
        <v>994.75</v>
      </c>
      <c r="L61" s="539">
        <f t="shared" si="27"/>
        <v>9.419273723100148E-2</v>
      </c>
      <c r="M61" s="523">
        <v>1025.8330000000001</v>
      </c>
    </row>
    <row r="62" spans="1:19">
      <c r="A62" s="278" t="s">
        <v>52</v>
      </c>
      <c r="B62" s="528">
        <v>1224</v>
      </c>
      <c r="C62" s="533">
        <f t="shared" si="23"/>
        <v>0.12227388671324398</v>
      </c>
      <c r="D62" s="520">
        <v>1280.2</v>
      </c>
      <c r="E62" s="392">
        <v>1223.53</v>
      </c>
      <c r="F62" s="307">
        <f t="shared" si="24"/>
        <v>0.11789185433992297</v>
      </c>
      <c r="G62" s="528">
        <v>1293.75</v>
      </c>
      <c r="H62" s="539">
        <f t="shared" si="25"/>
        <v>0.12058585852936983</v>
      </c>
      <c r="I62" s="529">
        <v>1176.7239999999999</v>
      </c>
      <c r="J62" s="539">
        <f t="shared" si="26"/>
        <v>0.11451702090927014</v>
      </c>
      <c r="K62" s="528">
        <v>1353.87</v>
      </c>
      <c r="L62" s="539">
        <f t="shared" si="27"/>
        <v>0.12819775939174261</v>
      </c>
      <c r="M62" s="523">
        <v>1265.982</v>
      </c>
    </row>
    <row r="63" spans="1:19">
      <c r="A63" s="278" t="s">
        <v>53</v>
      </c>
      <c r="B63" s="529" t="s">
        <v>44</v>
      </c>
      <c r="C63" s="534" t="s">
        <v>44</v>
      </c>
      <c r="D63" s="520">
        <v>80.91</v>
      </c>
      <c r="E63" s="392">
        <v>0</v>
      </c>
      <c r="F63" s="307">
        <f t="shared" si="24"/>
        <v>0</v>
      </c>
      <c r="G63" s="528">
        <v>78.38000000000001</v>
      </c>
      <c r="H63" s="539">
        <f t="shared" si="25"/>
        <v>7.3055223895899584E-3</v>
      </c>
      <c r="I63" s="529">
        <v>56.814999999999998</v>
      </c>
      <c r="J63" s="539">
        <f t="shared" si="26"/>
        <v>5.5291508824160829E-3</v>
      </c>
      <c r="K63" s="528">
        <v>48.533999999999999</v>
      </c>
      <c r="L63" s="539">
        <f t="shared" si="27"/>
        <v>4.5956776162547636E-3</v>
      </c>
      <c r="M63" s="523">
        <v>61.006</v>
      </c>
    </row>
    <row r="64" spans="1:19">
      <c r="A64" s="278" t="s">
        <v>54</v>
      </c>
      <c r="B64" s="528">
        <v>60.423000000000002</v>
      </c>
      <c r="C64" s="533">
        <f t="shared" si="23"/>
        <v>6.0360743928711937E-3</v>
      </c>
      <c r="D64" s="520">
        <v>14.97</v>
      </c>
      <c r="E64" s="392">
        <v>63.75</v>
      </c>
      <c r="F64" s="307">
        <f t="shared" si="24"/>
        <v>6.1425594093892999E-3</v>
      </c>
      <c r="G64" s="528">
        <v>17.68</v>
      </c>
      <c r="H64" s="539">
        <f t="shared" si="25"/>
        <v>1.6478902251588472E-3</v>
      </c>
      <c r="I64" s="529">
        <f>1.16+13.07</f>
        <v>14.23</v>
      </c>
      <c r="J64" s="539">
        <f t="shared" si="26"/>
        <v>1.3848423313699001E-3</v>
      </c>
      <c r="K64" s="528">
        <f>29.27</f>
        <v>29.27</v>
      </c>
      <c r="L64" s="539">
        <f t="shared" si="27"/>
        <v>2.7715721726578671E-3</v>
      </c>
      <c r="M64" s="523">
        <f>1.328+33.33</f>
        <v>34.658000000000001</v>
      </c>
    </row>
    <row r="65" spans="1:19">
      <c r="A65" s="278" t="s">
        <v>55</v>
      </c>
      <c r="B65" s="528">
        <v>23.302</v>
      </c>
      <c r="C65" s="533">
        <f t="shared" si="23"/>
        <v>2.3277991080000093E-3</v>
      </c>
      <c r="D65" s="520">
        <v>38.9</v>
      </c>
      <c r="E65" s="392">
        <v>21.39</v>
      </c>
      <c r="F65" s="307">
        <f t="shared" si="24"/>
        <v>2.0610093453621511E-3</v>
      </c>
      <c r="G65" s="528">
        <v>36.06</v>
      </c>
      <c r="H65" s="539">
        <f t="shared" si="25"/>
        <v>3.3610249728070157E-3</v>
      </c>
      <c r="I65" s="529">
        <v>39.317</v>
      </c>
      <c r="J65" s="539">
        <f t="shared" si="26"/>
        <v>3.8262716755074039E-3</v>
      </c>
      <c r="K65" s="528">
        <v>39.377000000000002</v>
      </c>
      <c r="L65" s="539">
        <f t="shared" si="27"/>
        <v>3.7286025774768993E-3</v>
      </c>
      <c r="M65" s="523">
        <v>44.436999999999998</v>
      </c>
    </row>
    <row r="66" spans="1:19" s="3" customFormat="1">
      <c r="A66" s="273" t="s">
        <v>56</v>
      </c>
      <c r="B66" s="518">
        <f>SUM(B67:B70)</f>
        <v>4434.9139999999998</v>
      </c>
      <c r="C66" s="532">
        <f t="shared" si="23"/>
        <v>0.44303445426387228</v>
      </c>
      <c r="D66" s="519">
        <f>SUM(D67:D70)</f>
        <v>4216.09</v>
      </c>
      <c r="E66" s="518">
        <f t="shared" ref="E66" si="31">SUM(E67:E70)</f>
        <v>4693.42</v>
      </c>
      <c r="F66" s="305">
        <f t="shared" si="24"/>
        <v>0.45222919503083808</v>
      </c>
      <c r="G66" s="518">
        <f>SUM(G67:G70)</f>
        <v>4888.99</v>
      </c>
      <c r="H66" s="538">
        <f t="shared" si="25"/>
        <v>0.45568545429294977</v>
      </c>
      <c r="I66" s="529">
        <f>SUM(I67:I70)</f>
        <v>4722.5429999999997</v>
      </c>
      <c r="J66" s="538">
        <f t="shared" si="26"/>
        <v>0.45959082629055525</v>
      </c>
      <c r="K66" s="518">
        <f>SUM(K67:K70)</f>
        <v>4856.2330000000002</v>
      </c>
      <c r="L66" s="538">
        <f t="shared" si="27"/>
        <v>0.45983601799599705</v>
      </c>
      <c r="M66" s="526">
        <f>SUM(M67:M70)</f>
        <v>4543.2309999999998</v>
      </c>
      <c r="N66" s="7"/>
      <c r="O66" s="7"/>
      <c r="P66" s="7"/>
      <c r="Q66" s="7"/>
      <c r="R66" s="7"/>
      <c r="S66" s="7"/>
    </row>
    <row r="67" spans="1:19">
      <c r="A67" s="278" t="s">
        <v>51</v>
      </c>
      <c r="B67" s="528">
        <v>798.11400000000003</v>
      </c>
      <c r="C67" s="533">
        <f t="shared" si="23"/>
        <v>7.9729167336808834E-2</v>
      </c>
      <c r="D67" s="520">
        <v>771.88</v>
      </c>
      <c r="E67" s="393">
        <v>810.36</v>
      </c>
      <c r="F67" s="307">
        <f t="shared" si="24"/>
        <v>7.8081324595964119E-2</v>
      </c>
      <c r="G67" s="528">
        <v>774.05</v>
      </c>
      <c r="H67" s="539">
        <f>G67/$G$71</f>
        <v>7.2146460904084025E-2</v>
      </c>
      <c r="I67" s="529">
        <v>667.36099999999999</v>
      </c>
      <c r="J67" s="539">
        <f t="shared" si="26"/>
        <v>6.4946575060108772E-2</v>
      </c>
      <c r="K67" s="528">
        <v>695.82399999999996</v>
      </c>
      <c r="L67" s="539">
        <f t="shared" si="27"/>
        <v>6.5887476442346687E-2</v>
      </c>
      <c r="M67" s="523">
        <v>665.21</v>
      </c>
    </row>
    <row r="68" spans="1:19">
      <c r="A68" s="278" t="s">
        <v>52</v>
      </c>
      <c r="B68" s="528">
        <v>182.53299999999999</v>
      </c>
      <c r="C68" s="533">
        <f t="shared" si="23"/>
        <v>1.8234492943977582E-2</v>
      </c>
      <c r="D68" s="520">
        <v>223.67</v>
      </c>
      <c r="E68" s="393">
        <v>202.55</v>
      </c>
      <c r="F68" s="307">
        <f t="shared" si="24"/>
        <v>1.9516476994067493E-2</v>
      </c>
      <c r="G68" s="528">
        <v>285.99</v>
      </c>
      <c r="H68" s="539">
        <f t="shared" si="25"/>
        <v>2.6656115695315539E-2</v>
      </c>
      <c r="I68" s="529">
        <v>433.19799999999998</v>
      </c>
      <c r="J68" s="539">
        <f t="shared" si="26"/>
        <v>4.2158181887897252E-2</v>
      </c>
      <c r="K68" s="528">
        <v>368.83</v>
      </c>
      <c r="L68" s="539">
        <f t="shared" si="27"/>
        <v>3.4924460691540864E-2</v>
      </c>
      <c r="M68" s="523">
        <v>384.00200000000001</v>
      </c>
    </row>
    <row r="69" spans="1:19">
      <c r="A69" s="278" t="s">
        <v>53</v>
      </c>
      <c r="B69" s="528">
        <v>2714.37</v>
      </c>
      <c r="C69" s="533">
        <f t="shared" si="23"/>
        <v>0.27115732833155887</v>
      </c>
      <c r="D69" s="520">
        <v>2494.66</v>
      </c>
      <c r="E69" s="393">
        <v>2818</v>
      </c>
      <c r="F69" s="307">
        <f t="shared" si="24"/>
        <v>0.27152521436327914</v>
      </c>
      <c r="G69" s="528">
        <v>2915.9500000000003</v>
      </c>
      <c r="H69" s="539">
        <f t="shared" si="25"/>
        <v>0.27178537907533606</v>
      </c>
      <c r="I69" s="529">
        <v>2729.7539999999999</v>
      </c>
      <c r="J69" s="539">
        <f t="shared" si="26"/>
        <v>0.26565557929910821</v>
      </c>
      <c r="K69" s="528">
        <v>2936.0509999999999</v>
      </c>
      <c r="L69" s="539">
        <f t="shared" si="27"/>
        <v>0.27801425517951156</v>
      </c>
      <c r="M69" s="523">
        <v>2724.1190000000001</v>
      </c>
    </row>
    <row r="70" spans="1:19">
      <c r="A70" s="278" t="s">
        <v>54</v>
      </c>
      <c r="B70" s="528">
        <f>312.03+92.817+335.05</f>
        <v>739.89699999999993</v>
      </c>
      <c r="C70" s="533">
        <f t="shared" si="23"/>
        <v>7.3913465651527024E-2</v>
      </c>
      <c r="D70" s="520">
        <v>725.88</v>
      </c>
      <c r="E70" s="393">
        <v>862.51</v>
      </c>
      <c r="F70" s="307">
        <f t="shared" si="24"/>
        <v>8.3106179077527292E-2</v>
      </c>
      <c r="G70" s="528">
        <v>913</v>
      </c>
      <c r="H70" s="539">
        <f t="shared" si="25"/>
        <v>8.5097498618214223E-2</v>
      </c>
      <c r="I70" s="529">
        <f>422.419+104.04+365.771</f>
        <v>892.23</v>
      </c>
      <c r="J70" s="539">
        <f t="shared" si="26"/>
        <v>8.6830490043441039E-2</v>
      </c>
      <c r="K70" s="528">
        <f>391.6+97.281+366.647</f>
        <v>855.52800000000002</v>
      </c>
      <c r="L70" s="539">
        <f t="shared" si="27"/>
        <v>8.1009825682597875E-2</v>
      </c>
      <c r="M70" s="523">
        <v>769.9</v>
      </c>
    </row>
    <row r="71" spans="1:19" s="3" customFormat="1">
      <c r="A71" s="273" t="s">
        <v>57</v>
      </c>
      <c r="B71" s="530">
        <f>B55+B60+B66</f>
        <v>10010.313999999998</v>
      </c>
      <c r="C71" s="535">
        <f t="shared" si="23"/>
        <v>1</v>
      </c>
      <c r="D71" s="519">
        <f>D55+D60+D66</f>
        <v>9901.5499999999993</v>
      </c>
      <c r="E71" s="518">
        <f t="shared" ref="E71" si="32">E55+E60+E66</f>
        <v>10378.41</v>
      </c>
      <c r="F71" s="325">
        <f t="shared" si="24"/>
        <v>1</v>
      </c>
      <c r="G71" s="518">
        <f>G55+G60+G66</f>
        <v>10728.869999999999</v>
      </c>
      <c r="H71" s="540">
        <f t="shared" si="25"/>
        <v>1</v>
      </c>
      <c r="I71" s="518">
        <f>I55+I60+I66</f>
        <v>10275.538</v>
      </c>
      <c r="J71" s="543">
        <f t="shared" si="26"/>
        <v>1</v>
      </c>
      <c r="K71" s="518">
        <f>K55+K60+K66</f>
        <v>10560.793000000001</v>
      </c>
      <c r="L71" s="543">
        <f t="shared" si="27"/>
        <v>1</v>
      </c>
      <c r="M71" s="526">
        <f>M55+M60+M66</f>
        <v>10137.689</v>
      </c>
      <c r="N71" s="7"/>
      <c r="O71" s="7"/>
      <c r="P71" s="7"/>
      <c r="Q71" s="7"/>
      <c r="R71" s="7"/>
      <c r="S71" s="7"/>
    </row>
    <row r="72" spans="1:19">
      <c r="A72" s="278"/>
      <c r="B72" s="310"/>
      <c r="C72" s="311"/>
      <c r="D72" s="310"/>
      <c r="E72" s="310"/>
      <c r="F72" s="324"/>
      <c r="G72" s="310"/>
      <c r="H72" s="311"/>
      <c r="I72" s="310"/>
      <c r="J72" s="311"/>
      <c r="K72" s="527"/>
      <c r="L72" s="311"/>
      <c r="M72" s="541"/>
    </row>
    <row r="73" spans="1:19">
      <c r="A73" s="278" t="s">
        <v>58</v>
      </c>
      <c r="B73" s="308">
        <v>-235.89</v>
      </c>
      <c r="C73" s="280">
        <f>IF((+B73/D73)&lt;0,"n.m.",IF(B73&lt;0,(+B73/D73-1)*-1,(+B73/D73-1)))</f>
        <v>0.55981638022728553</v>
      </c>
      <c r="D73" s="359">
        <v>-535.8900000000001</v>
      </c>
      <c r="E73" s="395">
        <v>-449.06</v>
      </c>
      <c r="F73" s="394">
        <f>(E73/G73)-1</f>
        <v>-0.58970469994883423</v>
      </c>
      <c r="G73" s="308">
        <v>-1094.48</v>
      </c>
      <c r="H73" s="280">
        <f>(G73/I73)-1</f>
        <v>3.3935610774356713</v>
      </c>
      <c r="I73" s="294">
        <v>-249.11</v>
      </c>
      <c r="J73" s="280">
        <f>(I73/K73)-1</f>
        <v>2.3786789637867898</v>
      </c>
      <c r="K73" s="308">
        <v>-73.73</v>
      </c>
      <c r="L73" s="280" t="s">
        <v>13</v>
      </c>
      <c r="M73" s="308">
        <v>154.55000000000001</v>
      </c>
    </row>
    <row r="74" spans="1:19" s="26" customFormat="1">
      <c r="A74" s="312" t="s">
        <v>59</v>
      </c>
      <c r="B74" s="357">
        <v>0.315</v>
      </c>
      <c r="C74" s="286"/>
      <c r="D74" s="396">
        <v>0.32200000000000001</v>
      </c>
      <c r="E74" s="396">
        <v>0.315</v>
      </c>
      <c r="F74" s="297"/>
      <c r="G74" s="297">
        <v>0.31</v>
      </c>
      <c r="H74" s="286"/>
      <c r="I74" s="286">
        <v>0.30599999999999999</v>
      </c>
      <c r="J74" s="286"/>
      <c r="K74" s="297">
        <v>0.307</v>
      </c>
      <c r="L74" s="286"/>
      <c r="M74" s="297">
        <v>0.312</v>
      </c>
      <c r="N74" s="16"/>
      <c r="O74" s="16"/>
      <c r="P74" s="16"/>
      <c r="Q74" s="16"/>
      <c r="R74" s="16"/>
      <c r="S74" s="16"/>
    </row>
    <row r="75" spans="1:19" s="26" customFormat="1">
      <c r="A75" s="312" t="s">
        <v>60</v>
      </c>
      <c r="B75" s="308">
        <v>-7.5</v>
      </c>
      <c r="C75" s="314"/>
      <c r="D75" s="359">
        <v>-16.8</v>
      </c>
      <c r="E75" s="397">
        <v>-0.13800000000000001</v>
      </c>
      <c r="F75" s="313"/>
      <c r="G75" s="313">
        <v>-0.33</v>
      </c>
      <c r="H75" s="314"/>
      <c r="I75" s="286">
        <v>-7.9000000000000001E-2</v>
      </c>
      <c r="J75" s="314"/>
      <c r="K75" s="313">
        <v>-2.3E-2</v>
      </c>
      <c r="L75" s="314"/>
      <c r="M75" s="313">
        <v>4.9000000000000002E-2</v>
      </c>
      <c r="N75" s="16"/>
      <c r="O75" s="16"/>
      <c r="P75" s="16"/>
      <c r="Q75" s="16"/>
      <c r="R75" s="16"/>
      <c r="S75" s="16"/>
    </row>
    <row r="76" spans="1:19" s="26" customFormat="1">
      <c r="A76" s="312" t="s">
        <v>61</v>
      </c>
      <c r="B76" s="297">
        <f>(B48-B66-B53+B68)/B4</f>
        <v>-8.0959626676192414E-2</v>
      </c>
      <c r="C76" s="286"/>
      <c r="D76" s="297">
        <f>(D48-D66-D53+D68)/D4</f>
        <v>-0.21868070300987266</v>
      </c>
      <c r="E76" s="357">
        <f t="shared" ref="E76" si="33">(E48-E66-E53+E68)/E4</f>
        <v>-1.9809748993182479E-2</v>
      </c>
      <c r="F76" s="357"/>
      <c r="G76" s="297">
        <f>(G48-G66-G53+G68)/G4</f>
        <v>-6.785776333716359E-2</v>
      </c>
      <c r="H76" s="286"/>
      <c r="I76" s="286">
        <f>(I48-I66-I53+I68)/I4</f>
        <v>-3.5611866389893304E-2</v>
      </c>
      <c r="J76" s="286"/>
      <c r="K76" s="297">
        <f>(K48-K66-K53+K68)/K4</f>
        <v>-4.4271685549765946E-3</v>
      </c>
      <c r="L76" s="286"/>
      <c r="M76" s="297">
        <f>(M48-M66-M53+M68)/M4</f>
        <v>4.3939749059421704E-3</v>
      </c>
      <c r="N76" s="16"/>
      <c r="O76" s="16"/>
      <c r="P76" s="16"/>
      <c r="Q76" s="16"/>
      <c r="R76" s="16"/>
      <c r="S76" s="16"/>
    </row>
    <row r="77" spans="1:19" s="26" customFormat="1">
      <c r="A77" s="312"/>
      <c r="B77" s="297"/>
      <c r="C77" s="296"/>
      <c r="D77" s="310"/>
      <c r="E77" s="310"/>
      <c r="F77" s="310"/>
      <c r="G77" s="310"/>
      <c r="H77" s="296"/>
      <c r="I77" s="286"/>
      <c r="J77" s="296"/>
      <c r="K77" s="297"/>
      <c r="L77" s="296"/>
      <c r="M77" s="310"/>
      <c r="N77" s="16"/>
      <c r="O77" s="16"/>
      <c r="P77" s="16"/>
      <c r="Q77" s="16"/>
      <c r="R77" s="16"/>
      <c r="S77" s="16"/>
    </row>
    <row r="78" spans="1:19">
      <c r="A78" s="278"/>
      <c r="B78" s="298"/>
      <c r="C78" s="299"/>
      <c r="D78" s="298"/>
      <c r="E78" s="298"/>
      <c r="F78" s="298"/>
      <c r="G78" s="298"/>
      <c r="H78" s="299"/>
      <c r="I78" s="286"/>
      <c r="J78" s="299"/>
      <c r="K78" s="298"/>
      <c r="L78" s="299"/>
      <c r="M78" s="298"/>
    </row>
    <row r="79" spans="1:19">
      <c r="A79" s="278" t="s">
        <v>62</v>
      </c>
      <c r="B79" s="359">
        <f t="shared" ref="B79:E79" si="34">B20</f>
        <v>-125.1869999999999</v>
      </c>
      <c r="C79" s="280">
        <f t="shared" ref="C79:C118" si="35">IF((+B79/D79)&lt;0,"n.m.",IF(B79&lt;0,(+B79/D79-1)*-1,(+B79/D79-1)))</f>
        <v>3.79850918312441E-2</v>
      </c>
      <c r="D79" s="359">
        <f t="shared" si="34"/>
        <v>-130.12999999999968</v>
      </c>
      <c r="E79" s="359">
        <f t="shared" si="34"/>
        <v>281.99999999999818</v>
      </c>
      <c r="F79" s="404">
        <f t="shared" ref="F79:F86" si="36">IF((+E79/G79)&lt;0,"n.m.",IF(E79&lt;0,(+E79/G79-1)*-1,(+E79/G79-1)))</f>
        <v>0.54529015288509886</v>
      </c>
      <c r="G79" s="308">
        <f>G20</f>
        <v>182.48999999999774</v>
      </c>
      <c r="H79" s="282">
        <f t="shared" ref="H79:J86" si="37">IF((+G79/I79)&lt;0,"n.m.",IF(G79&lt;0,(+G79/I79-1)*-1,(+G79/I79-1)))</f>
        <v>0.23720440211275728</v>
      </c>
      <c r="I79" s="308">
        <f>I20</f>
        <v>147.50190000000163</v>
      </c>
      <c r="J79" s="282">
        <f t="shared" si="37"/>
        <v>-5.6048252911803154E-2</v>
      </c>
      <c r="K79" s="308">
        <f>K20</f>
        <v>156.26</v>
      </c>
      <c r="L79" s="280">
        <f t="shared" ref="L79:L86" si="38">(K79-M79)/M79</f>
        <v>0.42005489012884933</v>
      </c>
      <c r="M79" s="308">
        <f>M20</f>
        <v>110.03800000000118</v>
      </c>
    </row>
    <row r="80" spans="1:19">
      <c r="A80" s="278" t="s">
        <v>40</v>
      </c>
      <c r="B80" s="294">
        <v>-46.81</v>
      </c>
      <c r="C80" s="280">
        <f>IF((+B80/D80)&lt;0,"n.m.",IF(B80&lt;0,(+B80/D80-1)*-1,(+B80/D80-1)))</f>
        <v>-0.24693660095897707</v>
      </c>
      <c r="D80" s="356">
        <v>-37.54</v>
      </c>
      <c r="E80" s="398">
        <v>15.62</v>
      </c>
      <c r="F80" s="404" t="str">
        <f t="shared" si="36"/>
        <v>n.m.</v>
      </c>
      <c r="G80" s="294">
        <v>-36.83</v>
      </c>
      <c r="H80" s="281" t="str">
        <f t="shared" si="37"/>
        <v>n.m.</v>
      </c>
      <c r="I80" s="294">
        <v>0.65400000000000003</v>
      </c>
      <c r="J80" s="281" t="str">
        <f t="shared" si="37"/>
        <v>n.m.</v>
      </c>
      <c r="K80" s="294">
        <v>-36.085000000000001</v>
      </c>
      <c r="L80" s="280">
        <f t="shared" si="38"/>
        <v>-0.30248965863841959</v>
      </c>
      <c r="M80" s="294">
        <v>-51.734000000000002</v>
      </c>
    </row>
    <row r="81" spans="1:19" s="27" customFormat="1" ht="20.399999999999999">
      <c r="A81" s="278" t="s">
        <v>63</v>
      </c>
      <c r="B81" s="294">
        <v>-0.67400000000000004</v>
      </c>
      <c r="C81" s="367"/>
      <c r="D81" s="356">
        <v>0</v>
      </c>
      <c r="E81" s="398">
        <v>-3.54</v>
      </c>
      <c r="F81" s="404">
        <f t="shared" si="36"/>
        <v>0.28484848484848491</v>
      </c>
      <c r="G81" s="294">
        <v>-4.95</v>
      </c>
      <c r="H81" s="281">
        <f t="shared" si="37"/>
        <v>-1.2167487684729066</v>
      </c>
      <c r="I81" s="294">
        <v>-2.2330000000000001</v>
      </c>
      <c r="J81" s="281" t="str">
        <f t="shared" si="37"/>
        <v>n.m.</v>
      </c>
      <c r="K81" s="294">
        <v>2E-3</v>
      </c>
      <c r="L81" s="280">
        <f t="shared" si="38"/>
        <v>-0.99978007477457653</v>
      </c>
      <c r="M81" s="294">
        <v>9.0939999999999994</v>
      </c>
      <c r="N81" s="15"/>
      <c r="O81" s="15"/>
      <c r="P81" s="15"/>
      <c r="Q81" s="15"/>
      <c r="R81" s="15"/>
      <c r="S81" s="15"/>
    </row>
    <row r="82" spans="1:19" ht="20.399999999999999">
      <c r="A82" s="278" t="s">
        <v>64</v>
      </c>
      <c r="B82" s="294">
        <v>9.56</v>
      </c>
      <c r="C82" s="280">
        <f t="shared" si="35"/>
        <v>3.8527918781725887</v>
      </c>
      <c r="D82" s="356">
        <v>1.97</v>
      </c>
      <c r="E82" s="398">
        <v>34.17</v>
      </c>
      <c r="F82" s="404">
        <f t="shared" si="36"/>
        <v>5.1061211934789519E-2</v>
      </c>
      <c r="G82" s="294">
        <v>32.51</v>
      </c>
      <c r="H82" s="281">
        <f t="shared" si="37"/>
        <v>-9.89717579889694E-2</v>
      </c>
      <c r="I82" s="294">
        <v>36.081000000000003</v>
      </c>
      <c r="J82" s="281">
        <f t="shared" si="37"/>
        <v>29.193305439330544</v>
      </c>
      <c r="K82" s="294">
        <v>1.1950000000000001</v>
      </c>
      <c r="L82" s="280">
        <f t="shared" si="38"/>
        <v>-0.93835439773020379</v>
      </c>
      <c r="M82" s="294">
        <v>19.385000000000002</v>
      </c>
    </row>
    <row r="83" spans="1:19">
      <c r="A83" s="278" t="s">
        <v>65</v>
      </c>
      <c r="B83" s="294">
        <v>93.18</v>
      </c>
      <c r="C83" s="280">
        <f t="shared" si="35"/>
        <v>3.937534857780256E-2</v>
      </c>
      <c r="D83" s="356">
        <v>89.65</v>
      </c>
      <c r="E83" s="398">
        <v>435.69</v>
      </c>
      <c r="F83" s="404">
        <f t="shared" si="36"/>
        <v>-0.13736709763003152</v>
      </c>
      <c r="G83" s="294">
        <v>505.07</v>
      </c>
      <c r="H83" s="281">
        <f t="shared" si="37"/>
        <v>0.11959123958148599</v>
      </c>
      <c r="I83" s="294">
        <v>451.12</v>
      </c>
      <c r="J83" s="281">
        <f t="shared" si="37"/>
        <v>3.3138358205635488E-3</v>
      </c>
      <c r="K83" s="294">
        <v>449.63</v>
      </c>
      <c r="L83" s="280">
        <f t="shared" si="38"/>
        <v>7.4525923359103352E-2</v>
      </c>
      <c r="M83" s="294">
        <v>418.44499999999999</v>
      </c>
    </row>
    <row r="84" spans="1:19">
      <c r="A84" s="278" t="s">
        <v>66</v>
      </c>
      <c r="B84" s="294">
        <v>-2.5910000000000002</v>
      </c>
      <c r="C84" s="280">
        <f t="shared" si="35"/>
        <v>0.66174934725848567</v>
      </c>
      <c r="D84" s="356">
        <v>-7.66</v>
      </c>
      <c r="E84" s="398">
        <v>-12.9</v>
      </c>
      <c r="F84" s="404" t="str">
        <f t="shared" si="36"/>
        <v>n.m.</v>
      </c>
      <c r="G84" s="294">
        <v>12.1</v>
      </c>
      <c r="H84" s="281">
        <f t="shared" si="37"/>
        <v>-0.39076582246613967</v>
      </c>
      <c r="I84" s="294">
        <v>19.861000000000001</v>
      </c>
      <c r="J84" s="281" t="str">
        <f t="shared" si="37"/>
        <v>n.m.</v>
      </c>
      <c r="K84" s="294">
        <v>-18.899999999999999</v>
      </c>
      <c r="L84" s="280" t="s">
        <v>13</v>
      </c>
      <c r="M84" s="294">
        <v>36.944000000000003</v>
      </c>
    </row>
    <row r="85" spans="1:19" ht="20.399999999999999">
      <c r="A85" s="278" t="s">
        <v>67</v>
      </c>
      <c r="B85" s="294">
        <v>-9.0150000000000006</v>
      </c>
      <c r="C85" s="280">
        <f t="shared" si="35"/>
        <v>0.24052232518955341</v>
      </c>
      <c r="D85" s="356">
        <v>-11.87</v>
      </c>
      <c r="E85" s="398">
        <v>-60.67</v>
      </c>
      <c r="F85" s="404">
        <f t="shared" si="36"/>
        <v>-0.87195310089478584</v>
      </c>
      <c r="G85" s="294">
        <v>-32.409999999999997</v>
      </c>
      <c r="H85" s="281">
        <f t="shared" si="37"/>
        <v>1.0321240991816305E-2</v>
      </c>
      <c r="I85" s="294">
        <v>-32.747999999999998</v>
      </c>
      <c r="J85" s="281">
        <f t="shared" si="37"/>
        <v>0.16189793724727441</v>
      </c>
      <c r="K85" s="294">
        <v>-39.073999999999998</v>
      </c>
      <c r="L85" s="280">
        <f t="shared" si="38"/>
        <v>0.16433743556125036</v>
      </c>
      <c r="M85" s="294">
        <v>-33.558999999999997</v>
      </c>
    </row>
    <row r="86" spans="1:19" s="3" customFormat="1">
      <c r="A86" s="273" t="s">
        <v>68</v>
      </c>
      <c r="B86" s="315">
        <f>SUM(B79:B85)</f>
        <v>-81.536999999999892</v>
      </c>
      <c r="C86" s="275">
        <f t="shared" si="35"/>
        <v>0.14692404268675274</v>
      </c>
      <c r="D86" s="360">
        <f t="shared" ref="D86:E86" si="39">SUM(D79:D85)</f>
        <v>-95.579999999999671</v>
      </c>
      <c r="E86" s="360">
        <f t="shared" si="39"/>
        <v>690.3699999999983</v>
      </c>
      <c r="F86" s="405">
        <f t="shared" si="36"/>
        <v>4.9226420255935821E-2</v>
      </c>
      <c r="G86" s="315">
        <f>SUM(G79:G85)</f>
        <v>657.97999999999774</v>
      </c>
      <c r="H86" s="276">
        <f t="shared" si="37"/>
        <v>6.0864518001382928E-2</v>
      </c>
      <c r="I86" s="315">
        <v>620.23</v>
      </c>
      <c r="J86" s="276">
        <f t="shared" si="37"/>
        <v>0.20895935504494889</v>
      </c>
      <c r="K86" s="315">
        <f>SUM(K79:K85)</f>
        <v>513.02800000000002</v>
      </c>
      <c r="L86" s="275">
        <f t="shared" si="38"/>
        <v>8.6804702199881172E-3</v>
      </c>
      <c r="M86" s="315">
        <f>SUM(M79:M85)</f>
        <v>508.61300000000119</v>
      </c>
      <c r="N86" s="7"/>
      <c r="O86" s="7"/>
      <c r="P86" s="7"/>
      <c r="Q86" s="7"/>
      <c r="R86" s="7"/>
      <c r="S86" s="7"/>
    </row>
    <row r="87" spans="1:19" s="3" customFormat="1">
      <c r="A87" s="273" t="s">
        <v>69</v>
      </c>
      <c r="B87" s="291"/>
      <c r="C87" s="280"/>
      <c r="D87" s="291"/>
      <c r="E87" s="291"/>
      <c r="F87" s="404"/>
      <c r="G87" s="291"/>
      <c r="H87" s="280"/>
      <c r="I87" s="291"/>
      <c r="J87" s="280"/>
      <c r="K87" s="291"/>
      <c r="L87" s="280"/>
      <c r="M87" s="291"/>
      <c r="N87" s="7"/>
      <c r="O87" s="7"/>
      <c r="P87" s="7"/>
      <c r="Q87" s="7"/>
      <c r="R87" s="7"/>
      <c r="S87" s="7"/>
    </row>
    <row r="88" spans="1:19">
      <c r="A88" s="278" t="s">
        <v>70</v>
      </c>
      <c r="B88" s="308">
        <v>-51.186999999999998</v>
      </c>
      <c r="C88" s="280">
        <f t="shared" si="35"/>
        <v>-0.27648379052369076</v>
      </c>
      <c r="D88" s="359">
        <v>-40.1</v>
      </c>
      <c r="E88" s="400">
        <v>-99.7</v>
      </c>
      <c r="F88" s="404" t="str">
        <f t="shared" ref="F88:F107" si="40">IF((+E88/G88)&lt;0,"n.m.",IF(E88&lt;0,(+E88/G88-1)*-1,(+E88/G88-1)))</f>
        <v>n.m.</v>
      </c>
      <c r="G88" s="308">
        <v>9.48</v>
      </c>
      <c r="H88" s="281">
        <f t="shared" ref="H88:J102" si="41">IF((+G88/I88)&lt;0,"n.m.",IF(G88&lt;0,(+G88/I88-1)*-1,(+G88/I88-1)))</f>
        <v>-0.88094490562246475</v>
      </c>
      <c r="I88" s="308">
        <v>79.626999999999995</v>
      </c>
      <c r="J88" s="281" t="str">
        <f t="shared" si="41"/>
        <v>n.m.</v>
      </c>
      <c r="K88" s="308">
        <v>-83.442999999999998</v>
      </c>
      <c r="L88" s="280">
        <f t="shared" ref="L88:L93" si="42">(K88-M88)/M88</f>
        <v>-0.2024030281595901</v>
      </c>
      <c r="M88" s="308">
        <v>-104.61799999999999</v>
      </c>
    </row>
    <row r="89" spans="1:19" ht="20.399999999999999">
      <c r="A89" s="278" t="s">
        <v>71</v>
      </c>
      <c r="B89" s="308">
        <v>241.077</v>
      </c>
      <c r="C89" s="280">
        <f t="shared" si="35"/>
        <v>-7.424062055988645E-2</v>
      </c>
      <c r="D89" s="359">
        <v>260.41000000000003</v>
      </c>
      <c r="E89" s="399">
        <v>-2.94</v>
      </c>
      <c r="F89" s="404" t="str">
        <f t="shared" si="40"/>
        <v>n.m.</v>
      </c>
      <c r="G89" s="294">
        <v>192.81</v>
      </c>
      <c r="H89" s="281">
        <f t="shared" si="41"/>
        <v>-0.22196620893643293</v>
      </c>
      <c r="I89" s="308">
        <v>247.81700000000001</v>
      </c>
      <c r="J89" s="281" t="str">
        <f t="shared" si="41"/>
        <v>n.m.</v>
      </c>
      <c r="K89" s="308">
        <v>-69.016000000000005</v>
      </c>
      <c r="L89" s="280" t="s">
        <v>13</v>
      </c>
      <c r="M89" s="308">
        <v>303.221</v>
      </c>
    </row>
    <row r="90" spans="1:19" ht="30.6">
      <c r="A90" s="278" t="s">
        <v>72</v>
      </c>
      <c r="B90" s="308">
        <v>20.100999999999999</v>
      </c>
      <c r="C90" s="280">
        <f t="shared" si="35"/>
        <v>3.7408018867924522</v>
      </c>
      <c r="D90" s="359">
        <v>4.24</v>
      </c>
      <c r="E90" s="399">
        <v>4.12</v>
      </c>
      <c r="F90" s="404" t="str">
        <f t="shared" si="40"/>
        <v>n.m.</v>
      </c>
      <c r="G90" s="294">
        <v>-21.64</v>
      </c>
      <c r="H90" s="281" t="str">
        <f t="shared" si="41"/>
        <v>n.m.</v>
      </c>
      <c r="I90" s="308">
        <v>56.6</v>
      </c>
      <c r="J90" s="281" t="str">
        <f t="shared" si="41"/>
        <v>n.m.</v>
      </c>
      <c r="K90" s="308">
        <v>-27.484000000000002</v>
      </c>
      <c r="L90" s="280">
        <f t="shared" si="42"/>
        <v>-0.6072760527556692</v>
      </c>
      <c r="M90" s="308">
        <v>-69.983000000000004</v>
      </c>
    </row>
    <row r="91" spans="1:19">
      <c r="A91" s="278" t="s">
        <v>73</v>
      </c>
      <c r="B91" s="308">
        <v>-18.896999999999998</v>
      </c>
      <c r="C91" s="280">
        <f t="shared" si="35"/>
        <v>0.41277190801740216</v>
      </c>
      <c r="D91" s="359">
        <v>-32.18</v>
      </c>
      <c r="E91" s="399">
        <v>-75.2</v>
      </c>
      <c r="F91" s="404">
        <f t="shared" si="40"/>
        <v>-4.2477320307048156</v>
      </c>
      <c r="G91" s="294">
        <v>-14.33</v>
      </c>
      <c r="H91" s="281">
        <f t="shared" si="41"/>
        <v>0.41045789278808575</v>
      </c>
      <c r="I91" s="308">
        <v>-24.306999999999999</v>
      </c>
      <c r="J91" s="281" t="str">
        <f t="shared" si="41"/>
        <v>n.m.</v>
      </c>
      <c r="K91" s="308">
        <v>29.488</v>
      </c>
      <c r="L91" s="280">
        <f t="shared" si="42"/>
        <v>0.10099690101930323</v>
      </c>
      <c r="M91" s="308">
        <v>26.783000000000001</v>
      </c>
    </row>
    <row r="92" spans="1:19" ht="23.25" customHeight="1">
      <c r="A92" s="278" t="s">
        <v>74</v>
      </c>
      <c r="B92" s="308">
        <v>-113.38200000000001</v>
      </c>
      <c r="C92" s="280">
        <f t="shared" si="35"/>
        <v>0.72895221247400255</v>
      </c>
      <c r="D92" s="359">
        <v>-418.31</v>
      </c>
      <c r="E92" s="399">
        <v>-187.84</v>
      </c>
      <c r="F92" s="404" t="str">
        <f t="shared" si="40"/>
        <v>n.m.</v>
      </c>
      <c r="G92" s="294">
        <v>206.53</v>
      </c>
      <c r="H92" s="281" t="str">
        <f t="shared" si="41"/>
        <v>n.m.</v>
      </c>
      <c r="I92" s="308">
        <v>-167.01400000000001</v>
      </c>
      <c r="J92" s="281" t="str">
        <f t="shared" si="41"/>
        <v>n.m.</v>
      </c>
      <c r="K92" s="308">
        <v>224.124</v>
      </c>
      <c r="L92" s="280" t="s">
        <v>13</v>
      </c>
      <c r="M92" s="308">
        <v>-252.28</v>
      </c>
    </row>
    <row r="93" spans="1:19" ht="30.6">
      <c r="A93" s="278" t="s">
        <v>75</v>
      </c>
      <c r="B93" s="308">
        <v>-17.164000000000001</v>
      </c>
      <c r="C93" s="280">
        <f t="shared" si="35"/>
        <v>-0.37092651757188522</v>
      </c>
      <c r="D93" s="359">
        <v>-12.52</v>
      </c>
      <c r="E93" s="399">
        <v>-3.63</v>
      </c>
      <c r="F93" s="404" t="str">
        <f t="shared" si="40"/>
        <v>n.m.</v>
      </c>
      <c r="G93" s="294">
        <v>14.93</v>
      </c>
      <c r="H93" s="281">
        <f t="shared" si="41"/>
        <v>2.3679224001804648</v>
      </c>
      <c r="I93" s="308">
        <v>4.4329999999999998</v>
      </c>
      <c r="J93" s="281">
        <f t="shared" si="41"/>
        <v>-0.90159167092148196</v>
      </c>
      <c r="K93" s="308">
        <v>45.046999999999997</v>
      </c>
      <c r="L93" s="280">
        <f t="shared" si="42"/>
        <v>6.1333333333333329</v>
      </c>
      <c r="M93" s="308">
        <v>6.3150000000000004</v>
      </c>
    </row>
    <row r="94" spans="1:19">
      <c r="A94" s="278" t="s">
        <v>76</v>
      </c>
      <c r="B94" s="308">
        <v>-109.59399999999999</v>
      </c>
      <c r="C94" s="280">
        <f t="shared" si="35"/>
        <v>0.37893006913748162</v>
      </c>
      <c r="D94" s="359">
        <v>-176.46</v>
      </c>
      <c r="E94" s="399">
        <v>-94.91</v>
      </c>
      <c r="F94" s="404" t="str">
        <f t="shared" si="40"/>
        <v>n.m.</v>
      </c>
      <c r="G94" s="294">
        <v>95.56</v>
      </c>
      <c r="H94" s="281">
        <f t="shared" si="41"/>
        <v>3.4650032707223621</v>
      </c>
      <c r="I94" s="308">
        <v>21.402000000000001</v>
      </c>
      <c r="J94" s="281">
        <f t="shared" si="41"/>
        <v>-0.247230136119025</v>
      </c>
      <c r="K94" s="308">
        <v>28.431000000000001</v>
      </c>
      <c r="L94" s="280" t="s">
        <v>13</v>
      </c>
      <c r="M94" s="308">
        <v>-70.12</v>
      </c>
    </row>
    <row r="95" spans="1:19">
      <c r="A95" s="278" t="s">
        <v>77</v>
      </c>
      <c r="B95" s="308">
        <v>-15.263999999999999</v>
      </c>
      <c r="C95" s="280">
        <f t="shared" si="35"/>
        <v>-3.9882352941176471</v>
      </c>
      <c r="D95" s="359">
        <v>-3.06</v>
      </c>
      <c r="E95" s="399">
        <v>33.9</v>
      </c>
      <c r="F95" s="404">
        <f t="shared" si="40"/>
        <v>-0.65767949106331414</v>
      </c>
      <c r="G95" s="294">
        <v>99.03</v>
      </c>
      <c r="H95" s="281" t="str">
        <f t="shared" si="41"/>
        <v>n.m.</v>
      </c>
      <c r="I95" s="308">
        <v>-33.463999999999999</v>
      </c>
      <c r="J95" s="281" t="str">
        <f t="shared" si="41"/>
        <v>n.m.</v>
      </c>
      <c r="K95" s="308">
        <v>33.521000000000001</v>
      </c>
      <c r="L95" s="280" t="s">
        <v>13</v>
      </c>
      <c r="M95" s="308">
        <v>-79.13</v>
      </c>
    </row>
    <row r="96" spans="1:19" s="3" customFormat="1" ht="20.399999999999999">
      <c r="A96" s="273" t="s">
        <v>78</v>
      </c>
      <c r="B96" s="315">
        <f>SUM(B86:B95)</f>
        <v>-145.84699999999987</v>
      </c>
      <c r="C96" s="275">
        <f t="shared" si="35"/>
        <v>0.71600786665628169</v>
      </c>
      <c r="D96" s="315">
        <f>SUM(D86:D95)</f>
        <v>-513.5599999999996</v>
      </c>
      <c r="E96" s="360">
        <f t="shared" ref="E96" si="43">SUM(E86:E95)</f>
        <v>264.16999999999814</v>
      </c>
      <c r="F96" s="405">
        <f t="shared" si="40"/>
        <v>-0.78701979280042034</v>
      </c>
      <c r="G96" s="315">
        <f>SUM(G86:G95)</f>
        <v>1240.3499999999976</v>
      </c>
      <c r="H96" s="276">
        <f t="shared" si="41"/>
        <v>0.54017607688773239</v>
      </c>
      <c r="I96" s="315">
        <v>805.33</v>
      </c>
      <c r="J96" s="276">
        <f t="shared" si="41"/>
        <v>0.16092640003690373</v>
      </c>
      <c r="K96" s="315">
        <f>SUM(K86:K95)</f>
        <v>693.69600000000003</v>
      </c>
      <c r="L96" s="275">
        <f t="shared" ref="L96:L118" si="44">(K96-M96)/M96</f>
        <v>1.5807046848783917</v>
      </c>
      <c r="M96" s="315">
        <f>SUM(M86:M95)</f>
        <v>268.80100000000135</v>
      </c>
      <c r="N96" s="7"/>
      <c r="O96" s="7"/>
      <c r="P96" s="7"/>
      <c r="Q96" s="7"/>
      <c r="R96" s="7"/>
      <c r="S96" s="7"/>
    </row>
    <row r="97" spans="1:19">
      <c r="A97" s="278" t="s">
        <v>79</v>
      </c>
      <c r="B97" s="308">
        <v>-20.268999999999998</v>
      </c>
      <c r="C97" s="280">
        <f t="shared" si="35"/>
        <v>-24.336249999999996</v>
      </c>
      <c r="D97" s="359">
        <v>-0.8</v>
      </c>
      <c r="E97" s="401">
        <v>-39.03</v>
      </c>
      <c r="F97" s="404">
        <f t="shared" si="40"/>
        <v>-0.67582653499355949</v>
      </c>
      <c r="G97" s="294">
        <v>-23.29</v>
      </c>
      <c r="H97" s="282">
        <f t="shared" si="41"/>
        <v>-0.1077815829528157</v>
      </c>
      <c r="I97" s="308">
        <v>-21.024000000000001</v>
      </c>
      <c r="J97" s="282">
        <f t="shared" si="41"/>
        <v>8.0877852583719378E-2</v>
      </c>
      <c r="K97" s="308">
        <v>-22.873999999999999</v>
      </c>
      <c r="L97" s="280">
        <f t="shared" si="44"/>
        <v>-0.44441475796070051</v>
      </c>
      <c r="M97" s="283">
        <v>-41.170999999999999</v>
      </c>
    </row>
    <row r="98" spans="1:19" ht="20.399999999999999">
      <c r="A98" s="278" t="s">
        <v>80</v>
      </c>
      <c r="B98" s="308">
        <v>-88.253</v>
      </c>
      <c r="C98" s="280">
        <f t="shared" si="35"/>
        <v>-0.23275597150440008</v>
      </c>
      <c r="D98" s="359">
        <v>-71.59</v>
      </c>
      <c r="E98" s="401">
        <v>-412.46</v>
      </c>
      <c r="F98" s="404">
        <f t="shared" si="40"/>
        <v>-4.2223626026531846E-2</v>
      </c>
      <c r="G98" s="294">
        <v>-395.75</v>
      </c>
      <c r="H98" s="282">
        <f t="shared" si="41"/>
        <v>-0.14217849443124853</v>
      </c>
      <c r="I98" s="308">
        <v>-346.48700000000002</v>
      </c>
      <c r="J98" s="282">
        <f t="shared" si="41"/>
        <v>0.10551914105963167</v>
      </c>
      <c r="K98" s="308">
        <v>-387.36099999999999</v>
      </c>
      <c r="L98" s="280">
        <f t="shared" si="44"/>
        <v>-0.15475590410292336</v>
      </c>
      <c r="M98" s="283">
        <v>-458.28300000000002</v>
      </c>
    </row>
    <row r="99" spans="1:19">
      <c r="A99" s="278" t="s">
        <v>155</v>
      </c>
      <c r="B99" s="524">
        <v>25.475999999999999</v>
      </c>
      <c r="C99" s="394">
        <v>0.26872509960159374</v>
      </c>
      <c r="D99" s="523">
        <v>20.079999999999998</v>
      </c>
      <c r="E99" s="523">
        <v>189.19</v>
      </c>
      <c r="F99" s="404">
        <v>0.94260190984700687</v>
      </c>
      <c r="G99" s="523">
        <v>97.39</v>
      </c>
      <c r="H99" s="381">
        <v>8.0802139630891556E-2</v>
      </c>
      <c r="I99" s="523">
        <v>90.108999999999995</v>
      </c>
      <c r="J99" s="381">
        <v>5.152052652461081E-2</v>
      </c>
      <c r="K99" s="523">
        <v>85.693999999999988</v>
      </c>
      <c r="L99" s="394">
        <v>0.16986798815033219</v>
      </c>
      <c r="M99" s="523">
        <v>73.251000000000005</v>
      </c>
    </row>
    <row r="100" spans="1:19" ht="20.399999999999999">
      <c r="A100" s="278" t="s">
        <v>81</v>
      </c>
      <c r="B100" s="308">
        <v>2.7210000000000001</v>
      </c>
      <c r="C100" s="280">
        <f t="shared" si="35"/>
        <v>7.245454545454546</v>
      </c>
      <c r="D100" s="359">
        <v>0.33</v>
      </c>
      <c r="E100" s="401">
        <v>-14.13</v>
      </c>
      <c r="F100" s="404" t="str">
        <f t="shared" si="40"/>
        <v>n.m.</v>
      </c>
      <c r="G100" s="294">
        <v>7.54</v>
      </c>
      <c r="H100" s="281" t="str">
        <f t="shared" si="41"/>
        <v>n.m.</v>
      </c>
      <c r="I100" s="308">
        <v>-98.606999999999999</v>
      </c>
      <c r="J100" s="281" t="str">
        <f t="shared" si="41"/>
        <v>n.m.</v>
      </c>
      <c r="K100" s="308">
        <v>2.75</v>
      </c>
      <c r="L100" s="280">
        <f t="shared" si="44"/>
        <v>12.546798029556649</v>
      </c>
      <c r="M100" s="283">
        <v>0.20300000000000001</v>
      </c>
    </row>
    <row r="101" spans="1:19">
      <c r="A101" s="278" t="s">
        <v>82</v>
      </c>
      <c r="B101" s="308">
        <v>2.3E-2</v>
      </c>
      <c r="C101" s="280"/>
      <c r="D101" s="359">
        <v>0</v>
      </c>
      <c r="E101" s="401">
        <v>-158</v>
      </c>
      <c r="F101" s="404">
        <f t="shared" si="40"/>
        <v>-24.901639344262296</v>
      </c>
      <c r="G101" s="544">
        <v>-6.1</v>
      </c>
      <c r="H101" s="282">
        <f t="shared" si="41"/>
        <v>0.89711934156378603</v>
      </c>
      <c r="I101" s="308">
        <v>-59.292000000000002</v>
      </c>
      <c r="J101" s="282">
        <f t="shared" si="41"/>
        <v>-4.5983382116891702</v>
      </c>
      <c r="K101" s="308">
        <v>-10.590999999999999</v>
      </c>
      <c r="L101" s="280">
        <f t="shared" si="44"/>
        <v>-0.50021235430135436</v>
      </c>
      <c r="M101" s="283">
        <v>-21.190999999999999</v>
      </c>
    </row>
    <row r="102" spans="1:19" s="3" customFormat="1" ht="20.399999999999999">
      <c r="A102" s="273" t="s">
        <v>83</v>
      </c>
      <c r="B102" s="315">
        <f>SUM(B97:B101)</f>
        <v>-80.301999999999992</v>
      </c>
      <c r="C102" s="275">
        <f t="shared" si="35"/>
        <v>-0.54486340900346253</v>
      </c>
      <c r="D102" s="315">
        <f>SUM(D97:D101)</f>
        <v>-51.980000000000004</v>
      </c>
      <c r="E102" s="360">
        <f>SUM(E97:E101)</f>
        <v>-434.43</v>
      </c>
      <c r="F102" s="547">
        <f t="shared" si="40"/>
        <v>-0.35670341338496603</v>
      </c>
      <c r="G102" s="379">
        <f>SUM(G97:G101)</f>
        <v>-320.21000000000004</v>
      </c>
      <c r="H102" s="316">
        <f t="shared" si="41"/>
        <v>0.26439406295873424</v>
      </c>
      <c r="I102" s="315">
        <f>SUM(I97:I101)</f>
        <v>-435.30100000000004</v>
      </c>
      <c r="J102" s="316">
        <f t="shared" si="41"/>
        <v>-0.30964071459946685</v>
      </c>
      <c r="K102" s="315">
        <f>SUM(K97:K101)</f>
        <v>-332.38200000000006</v>
      </c>
      <c r="L102" s="275">
        <f t="shared" si="44"/>
        <v>-0.25673369991793199</v>
      </c>
      <c r="M102" s="315">
        <f>SUM(M97:M101)</f>
        <v>-447.19099999999997</v>
      </c>
      <c r="N102" s="7"/>
      <c r="O102" s="7"/>
      <c r="P102" s="7"/>
      <c r="Q102" s="7"/>
      <c r="R102" s="7"/>
      <c r="S102" s="7"/>
    </row>
    <row r="103" spans="1:19">
      <c r="A103" s="278" t="s">
        <v>84</v>
      </c>
      <c r="B103" s="308">
        <f>23.282-42.858</f>
        <v>-19.575999999999997</v>
      </c>
      <c r="C103" s="280">
        <f t="shared" si="35"/>
        <v>0.74019907100199078</v>
      </c>
      <c r="D103" s="359">
        <v>-75.349999999999994</v>
      </c>
      <c r="E103" s="402">
        <v>-301.33000000000004</v>
      </c>
      <c r="F103" s="545">
        <f t="shared" si="40"/>
        <v>-1.3175665282264268</v>
      </c>
      <c r="G103" s="546">
        <v>-130.02000000000001</v>
      </c>
      <c r="H103" s="317">
        <f t="shared" ref="H103:J118" si="45">IF((+G103/I103)&lt;0,"n.m.",IF(G103&lt;0,(+G103/I103-1)*-1,(+G103/I103-1)))</f>
        <v>-0.40947673095060022</v>
      </c>
      <c r="I103" s="308">
        <v>-92.247</v>
      </c>
      <c r="J103" s="317">
        <f t="shared" si="45"/>
        <v>-0.97012152147448893</v>
      </c>
      <c r="K103" s="308">
        <v>-46.823</v>
      </c>
      <c r="L103" s="280">
        <f t="shared" si="44"/>
        <v>-0.80818028750629867</v>
      </c>
      <c r="M103" s="283">
        <v>-244.09899999999999</v>
      </c>
    </row>
    <row r="104" spans="1:19">
      <c r="A104" s="278" t="s">
        <v>85</v>
      </c>
      <c r="B104" s="294">
        <v>0</v>
      </c>
      <c r="C104" s="280"/>
      <c r="D104" s="356">
        <v>0</v>
      </c>
      <c r="E104" s="402">
        <v>0</v>
      </c>
      <c r="F104" s="404">
        <f t="shared" si="40"/>
        <v>-1</v>
      </c>
      <c r="G104" s="294">
        <v>100</v>
      </c>
      <c r="H104" s="281" t="str">
        <f t="shared" si="45"/>
        <v>n.m.</v>
      </c>
      <c r="I104" s="294">
        <v>-7.5</v>
      </c>
      <c r="J104" s="281" t="str">
        <f t="shared" si="45"/>
        <v>n.m.</v>
      </c>
      <c r="K104" s="294">
        <v>105</v>
      </c>
      <c r="L104" s="280">
        <f t="shared" si="44"/>
        <v>-0.36363636363636365</v>
      </c>
      <c r="M104" s="292">
        <f>140+25</f>
        <v>165</v>
      </c>
    </row>
    <row r="105" spans="1:19" ht="20.399999999999999">
      <c r="A105" s="278" t="s">
        <v>86</v>
      </c>
      <c r="B105" s="294">
        <v>-9.0999999999999998E-2</v>
      </c>
      <c r="C105" s="280">
        <f t="shared" si="35"/>
        <v>0.49444444444444446</v>
      </c>
      <c r="D105" s="356">
        <v>-0.18</v>
      </c>
      <c r="E105" s="402">
        <v>-5.03</v>
      </c>
      <c r="F105" s="404">
        <f t="shared" si="40"/>
        <v>-5.0602409638554224</v>
      </c>
      <c r="G105" s="294">
        <v>-0.83</v>
      </c>
      <c r="H105" s="282">
        <f t="shared" si="45"/>
        <v>0.92681421391411689</v>
      </c>
      <c r="I105" s="294">
        <v>-11.340999999999999</v>
      </c>
      <c r="J105" s="282">
        <f t="shared" si="45"/>
        <v>0.44941256432663368</v>
      </c>
      <c r="K105" s="294">
        <v>-20.597999999999999</v>
      </c>
      <c r="L105" s="280">
        <f t="shared" si="44"/>
        <v>4.6572370227959352</v>
      </c>
      <c r="M105" s="294">
        <v>-3.641</v>
      </c>
    </row>
    <row r="106" spans="1:19" ht="20.399999999999999">
      <c r="A106" s="278" t="s">
        <v>81</v>
      </c>
      <c r="B106" s="308">
        <v>-3.8879999999999999</v>
      </c>
      <c r="C106" s="280">
        <f t="shared" si="35"/>
        <v>-0.27058823529411757</v>
      </c>
      <c r="D106" s="359">
        <v>-3.06</v>
      </c>
      <c r="E106" s="402">
        <v>17.13</v>
      </c>
      <c r="F106" s="404" t="str">
        <f t="shared" si="40"/>
        <v>n.m.</v>
      </c>
      <c r="G106" s="294">
        <v>-29.92</v>
      </c>
      <c r="H106" s="281" t="str">
        <f t="shared" si="45"/>
        <v>n.m.</v>
      </c>
      <c r="I106" s="308">
        <v>23.584</v>
      </c>
      <c r="J106" s="282">
        <f t="shared" si="45"/>
        <v>9.7985347985347975</v>
      </c>
      <c r="K106" s="308">
        <v>2.1840000000000002</v>
      </c>
      <c r="L106" s="280">
        <f t="shared" si="44"/>
        <v>-0.70712082606946491</v>
      </c>
      <c r="M106" s="292">
        <v>7.4569999999999999</v>
      </c>
    </row>
    <row r="107" spans="1:19" ht="20.399999999999999">
      <c r="A107" s="278" t="s">
        <v>87</v>
      </c>
      <c r="B107" s="294">
        <v>-0.39600000000000002</v>
      </c>
      <c r="C107" s="394">
        <f t="shared" si="35"/>
        <v>-12.200000000000001</v>
      </c>
      <c r="D107" s="356">
        <v>-0.03</v>
      </c>
      <c r="E107" s="402">
        <v>-204.78</v>
      </c>
      <c r="F107" s="404">
        <f t="shared" si="40"/>
        <v>-929.81818181818187</v>
      </c>
      <c r="G107" s="294">
        <v>-0.22</v>
      </c>
      <c r="H107" s="281" t="str">
        <f t="shared" si="45"/>
        <v>n.m.</v>
      </c>
      <c r="I107" s="308">
        <v>2.7090000000000001</v>
      </c>
      <c r="J107" s="282">
        <f t="shared" si="45"/>
        <v>6.9442815249266863</v>
      </c>
      <c r="K107" s="308">
        <v>0.34100000000000003</v>
      </c>
      <c r="L107" s="280">
        <f t="shared" si="44"/>
        <v>-0.97045060658578863</v>
      </c>
      <c r="M107" s="283">
        <v>11.54</v>
      </c>
    </row>
    <row r="108" spans="1:19">
      <c r="A108" s="278" t="s">
        <v>88</v>
      </c>
      <c r="B108" s="294">
        <v>0</v>
      </c>
      <c r="C108" s="295" t="s">
        <v>44</v>
      </c>
      <c r="D108" s="356">
        <v>0</v>
      </c>
      <c r="E108" s="402">
        <v>0</v>
      </c>
      <c r="F108" s="404" t="s">
        <v>44</v>
      </c>
      <c r="G108" s="294">
        <v>0</v>
      </c>
      <c r="H108" s="282"/>
      <c r="I108" s="294">
        <v>0</v>
      </c>
      <c r="J108" s="282">
        <f t="shared" si="45"/>
        <v>-1</v>
      </c>
      <c r="K108" s="294">
        <v>-8.8629999999999995</v>
      </c>
      <c r="L108" s="280">
        <f t="shared" si="44"/>
        <v>-0.79330690298507467</v>
      </c>
      <c r="M108" s="294">
        <v>-42.88</v>
      </c>
    </row>
    <row r="109" spans="1:19" ht="20.399999999999999">
      <c r="A109" s="278" t="s">
        <v>89</v>
      </c>
      <c r="B109" s="308">
        <v>-1.101</v>
      </c>
      <c r="C109" s="394"/>
      <c r="D109" s="359">
        <v>0</v>
      </c>
      <c r="E109" s="402">
        <v>-70.17</v>
      </c>
      <c r="F109" s="404">
        <f t="shared" ref="F109:F118" si="46">IF((+E109/G109)&lt;0,"n.m.",IF(E109&lt;0,(+E109/G109-1)*-1,(+E109/G109-1)))</f>
        <v>-0.24062942008486554</v>
      </c>
      <c r="G109" s="294">
        <v>-56.56</v>
      </c>
      <c r="H109" s="282">
        <f t="shared" si="45"/>
        <v>1.85326577358228E-2</v>
      </c>
      <c r="I109" s="308">
        <v>-57.628</v>
      </c>
      <c r="J109" s="282">
        <f t="shared" si="45"/>
        <v>-0.52741922658962603</v>
      </c>
      <c r="K109" s="308">
        <v>-37.728999999999999</v>
      </c>
      <c r="L109" s="280">
        <f t="shared" si="44"/>
        <v>-0.45822025014718759</v>
      </c>
      <c r="M109" s="283">
        <v>-69.638999999999996</v>
      </c>
    </row>
    <row r="110" spans="1:19" s="3" customFormat="1" ht="20.399999999999999">
      <c r="A110" s="273" t="s">
        <v>90</v>
      </c>
      <c r="B110" s="315">
        <f>SUM(B103:B109)</f>
        <v>-25.052</v>
      </c>
      <c r="C110" s="275">
        <f t="shared" si="35"/>
        <v>0.68135334520478252</v>
      </c>
      <c r="D110" s="315">
        <f>SUM(D103:D109)</f>
        <v>-78.62</v>
      </c>
      <c r="E110" s="360">
        <f t="shared" ref="E110" si="47">SUM(E103:E109)</f>
        <v>-564.17999999999995</v>
      </c>
      <c r="F110" s="405">
        <f t="shared" si="46"/>
        <v>-3.7994895789025938</v>
      </c>
      <c r="G110" s="315">
        <f>SUM(G103:G109)</f>
        <v>-117.55000000000001</v>
      </c>
      <c r="H110" s="276">
        <f t="shared" si="45"/>
        <v>0.17464753131494692</v>
      </c>
      <c r="I110" s="315">
        <f>-142.424</f>
        <v>-142.42400000000001</v>
      </c>
      <c r="J110" s="276">
        <f t="shared" si="45"/>
        <v>-20.951911220715168</v>
      </c>
      <c r="K110" s="315">
        <f>SUM(K103:K109)</f>
        <v>-6.4879999999999995</v>
      </c>
      <c r="L110" s="275">
        <f t="shared" si="44"/>
        <v>-0.96319115861615101</v>
      </c>
      <c r="M110" s="315">
        <f>SUM(M103:M109)</f>
        <v>-176.262</v>
      </c>
      <c r="N110" s="7"/>
      <c r="O110" s="7"/>
      <c r="P110" s="7"/>
      <c r="Q110" s="7"/>
      <c r="R110" s="7"/>
      <c r="S110" s="7"/>
    </row>
    <row r="111" spans="1:19" s="3" customFormat="1" ht="20.399999999999999">
      <c r="A111" s="273" t="s">
        <v>91</v>
      </c>
      <c r="B111" s="306">
        <f>B96+B102+B110</f>
        <v>-251.20099999999985</v>
      </c>
      <c r="C111" s="275">
        <f t="shared" si="35"/>
        <v>0.61003322155986095</v>
      </c>
      <c r="D111" s="306">
        <f>D96+D102+D110</f>
        <v>-644.15999999999963</v>
      </c>
      <c r="E111" s="358">
        <f>E96+E102+E110</f>
        <v>-734.44000000000187</v>
      </c>
      <c r="F111" s="404" t="str">
        <f t="shared" si="46"/>
        <v>n.m.</v>
      </c>
      <c r="G111" s="306">
        <f>G96+G102+G110</f>
        <v>802.58999999999764</v>
      </c>
      <c r="H111" s="276">
        <f t="shared" si="45"/>
        <v>2.5262406361898804</v>
      </c>
      <c r="I111" s="306">
        <f>I96+I102+I110</f>
        <v>227.60499999999999</v>
      </c>
      <c r="J111" s="276">
        <f t="shared" si="45"/>
        <v>-0.35854475151200871</v>
      </c>
      <c r="K111" s="306">
        <f>K96+K102+K110</f>
        <v>354.82599999999996</v>
      </c>
      <c r="L111" s="275">
        <f t="shared" si="44"/>
        <v>-2.0004906217926344</v>
      </c>
      <c r="M111" s="306">
        <f>M96+M102+M110</f>
        <v>-354.65199999999862</v>
      </c>
      <c r="N111" s="7"/>
      <c r="O111" s="7"/>
      <c r="P111" s="7"/>
      <c r="Q111" s="7"/>
      <c r="R111" s="7"/>
      <c r="S111" s="7"/>
    </row>
    <row r="112" spans="1:19" ht="20.399999999999999">
      <c r="A112" s="278" t="s">
        <v>92</v>
      </c>
      <c r="B112" s="308">
        <f>E115</f>
        <v>1997.571999999996</v>
      </c>
      <c r="C112" s="280">
        <f t="shared" si="35"/>
        <v>-0.26738750448353776</v>
      </c>
      <c r="D112" s="283">
        <f>E112</f>
        <v>2726.641999999998</v>
      </c>
      <c r="E112" s="359">
        <f>G115</f>
        <v>2726.641999999998</v>
      </c>
      <c r="F112" s="404">
        <f t="shared" si="46"/>
        <v>0.43052566522668334</v>
      </c>
      <c r="G112" s="308">
        <f>I115</f>
        <v>1906.0420000000001</v>
      </c>
      <c r="H112" s="282">
        <f t="shared" si="45"/>
        <v>0.13138362913278323</v>
      </c>
      <c r="I112" s="308">
        <f>K115</f>
        <v>1684.7</v>
      </c>
      <c r="J112" s="282">
        <f t="shared" si="45"/>
        <v>0.24731058603681455</v>
      </c>
      <c r="K112" s="308">
        <f>M115</f>
        <v>1350.6659999999999</v>
      </c>
      <c r="L112" s="280">
        <f t="shared" si="44"/>
        <v>-0.20013099539324916</v>
      </c>
      <c r="M112" s="283">
        <v>1688.6089999999988</v>
      </c>
    </row>
    <row r="113" spans="1:19" ht="30.6">
      <c r="A113" s="278" t="s">
        <v>93</v>
      </c>
      <c r="B113" s="308">
        <v>11.79</v>
      </c>
      <c r="C113" s="280">
        <f t="shared" si="35"/>
        <v>2.4373177842565594</v>
      </c>
      <c r="D113" s="382">
        <v>3.43</v>
      </c>
      <c r="E113" s="403">
        <v>5.37</v>
      </c>
      <c r="F113" s="404">
        <f t="shared" si="46"/>
        <v>-5.9544658493870362E-2</v>
      </c>
      <c r="G113" s="308">
        <v>5.71</v>
      </c>
      <c r="H113" s="281" t="str">
        <f t="shared" si="45"/>
        <v>n.m.</v>
      </c>
      <c r="I113" s="308">
        <v>-15.55</v>
      </c>
      <c r="J113" s="282">
        <f t="shared" si="45"/>
        <v>0.12733598967394344</v>
      </c>
      <c r="K113" s="308">
        <v>-17.818999999999999</v>
      </c>
      <c r="L113" s="280">
        <f t="shared" si="44"/>
        <v>-1.6067075246850526</v>
      </c>
      <c r="M113" s="283">
        <v>29.37</v>
      </c>
    </row>
    <row r="114" spans="1:19" ht="20.399999999999999">
      <c r="A114" s="278" t="s">
        <v>94</v>
      </c>
      <c r="B114" s="308">
        <v>0.14699999999999999</v>
      </c>
      <c r="C114" s="280">
        <f t="shared" si="35"/>
        <v>-0.77031249999999996</v>
      </c>
      <c r="D114" s="359">
        <v>0.64</v>
      </c>
      <c r="E114" s="403">
        <v>0</v>
      </c>
      <c r="F114" s="404">
        <f t="shared" si="46"/>
        <v>-1</v>
      </c>
      <c r="G114" s="308">
        <v>12.3</v>
      </c>
      <c r="H114" s="281">
        <f t="shared" si="45"/>
        <v>0.32443200172283837</v>
      </c>
      <c r="I114" s="308">
        <v>9.2870000000000008</v>
      </c>
      <c r="J114" s="281" t="str">
        <f t="shared" si="45"/>
        <v>n.m.</v>
      </c>
      <c r="K114" s="308">
        <v>-2.9820000000000002</v>
      </c>
      <c r="L114" s="280">
        <f t="shared" si="44"/>
        <v>-0.76447358028591728</v>
      </c>
      <c r="M114" s="308">
        <v>-12.661</v>
      </c>
    </row>
    <row r="115" spans="1:19" s="3" customFormat="1" ht="20.399999999999999">
      <c r="A115" s="273" t="s">
        <v>95</v>
      </c>
      <c r="B115" s="306">
        <f>B111+B112+B113+B114</f>
        <v>1758.3079999999961</v>
      </c>
      <c r="C115" s="275">
        <f t="shared" si="35"/>
        <v>-0.15731407604507441</v>
      </c>
      <c r="D115" s="306">
        <f>D111+D112+D113+D114</f>
        <v>2086.5519999999979</v>
      </c>
      <c r="E115" s="358">
        <f t="shared" ref="E115" si="48">E111+E112+E113+E114</f>
        <v>1997.571999999996</v>
      </c>
      <c r="F115" s="405">
        <f t="shared" si="46"/>
        <v>-0.26738750448353776</v>
      </c>
      <c r="G115" s="306">
        <f>G111+G112+G113+G114</f>
        <v>2726.641999999998</v>
      </c>
      <c r="H115" s="276">
        <f t="shared" si="45"/>
        <v>0.43052566522668334</v>
      </c>
      <c r="I115" s="306">
        <f>I111+I112+I113+I114</f>
        <v>1906.0420000000001</v>
      </c>
      <c r="J115" s="276">
        <f t="shared" si="45"/>
        <v>0.13138362913278323</v>
      </c>
      <c r="K115" s="306">
        <v>1684.7</v>
      </c>
      <c r="L115" s="275">
        <f t="shared" si="44"/>
        <v>0.24731058603681452</v>
      </c>
      <c r="M115" s="306">
        <f>M111+M112+M113+M114</f>
        <v>1350.6659999999999</v>
      </c>
      <c r="N115" s="7"/>
      <c r="O115" s="7"/>
      <c r="P115" s="7"/>
      <c r="Q115" s="7"/>
      <c r="R115" s="7"/>
      <c r="S115" s="7"/>
    </row>
    <row r="116" spans="1:19">
      <c r="A116" s="278" t="s">
        <v>96</v>
      </c>
      <c r="B116" s="359">
        <v>10.029999999999999</v>
      </c>
      <c r="C116" s="280">
        <f t="shared" si="35"/>
        <v>-0.14638297872340433</v>
      </c>
      <c r="D116" s="359">
        <v>11.75</v>
      </c>
      <c r="E116" s="406">
        <v>49.47</v>
      </c>
      <c r="F116" s="404">
        <f t="shared" si="46"/>
        <v>-0.26584945981241836</v>
      </c>
      <c r="G116" s="318">
        <v>67.384</v>
      </c>
      <c r="H116" s="282">
        <f t="shared" si="45"/>
        <v>8.1362133709920625E-2</v>
      </c>
      <c r="I116" s="318">
        <v>62.314</v>
      </c>
      <c r="J116" s="282">
        <f t="shared" si="45"/>
        <v>-3.9697950377562075E-2</v>
      </c>
      <c r="K116" s="318">
        <v>64.89</v>
      </c>
      <c r="L116" s="280">
        <f t="shared" si="44"/>
        <v>-9.4562350872786652E-2</v>
      </c>
      <c r="M116" s="319">
        <v>71.667000000000002</v>
      </c>
    </row>
    <row r="117" spans="1:19">
      <c r="A117" s="278" t="s">
        <v>97</v>
      </c>
      <c r="B117" s="359">
        <v>8.9700000000000006</v>
      </c>
      <c r="C117" s="280">
        <f t="shared" si="35"/>
        <v>0.19600000000000017</v>
      </c>
      <c r="D117" s="359">
        <v>7.5</v>
      </c>
      <c r="E117" s="406">
        <v>37.32</v>
      </c>
      <c r="F117" s="404">
        <f t="shared" si="46"/>
        <v>-0.23970174795257304</v>
      </c>
      <c r="G117" s="318">
        <v>49.085999999999999</v>
      </c>
      <c r="H117" s="282">
        <f t="shared" si="45"/>
        <v>-3.459533877470744E-2</v>
      </c>
      <c r="I117" s="318">
        <v>50.844999999999999</v>
      </c>
      <c r="J117" s="282">
        <f t="shared" si="45"/>
        <v>0.13729393607265084</v>
      </c>
      <c r="K117" s="318">
        <v>44.707000000000001</v>
      </c>
      <c r="L117" s="280">
        <f t="shared" si="44"/>
        <v>-0.233340192749597</v>
      </c>
      <c r="M117" s="319">
        <v>58.314</v>
      </c>
    </row>
    <row r="118" spans="1:19">
      <c r="A118" s="278" t="s">
        <v>98</v>
      </c>
      <c r="B118" s="359">
        <v>19.920000000000002</v>
      </c>
      <c r="C118" s="280">
        <f t="shared" si="35"/>
        <v>-0.78010817971078483</v>
      </c>
      <c r="D118" s="359">
        <v>90.59</v>
      </c>
      <c r="E118" s="406">
        <v>274.57</v>
      </c>
      <c r="F118" s="404">
        <f t="shared" si="46"/>
        <v>1.7172772796548106</v>
      </c>
      <c r="G118" s="318">
        <v>101.04600000000001</v>
      </c>
      <c r="H118" s="282">
        <f t="shared" si="45"/>
        <v>0.11225343430785495</v>
      </c>
      <c r="I118" s="318">
        <v>90.847999999999999</v>
      </c>
      <c r="J118" s="282">
        <f t="shared" si="45"/>
        <v>0.35729759610356604</v>
      </c>
      <c r="K118" s="318">
        <v>66.933000000000007</v>
      </c>
      <c r="L118" s="280">
        <f t="shared" si="44"/>
        <v>-0.52763957402663386</v>
      </c>
      <c r="M118" s="319">
        <v>141.69900000000001</v>
      </c>
    </row>
    <row r="119" spans="1:19" s="29" customFormat="1">
      <c r="A119" s="273" t="s">
        <v>99</v>
      </c>
      <c r="B119" s="320">
        <f>-B19/B18</f>
        <v>0.22631644004944376</v>
      </c>
      <c r="C119" s="321"/>
      <c r="D119" s="320">
        <f>-D19/D18</f>
        <v>0.1565882429191785</v>
      </c>
      <c r="E119" s="361">
        <f>-E19/E18</f>
        <v>0.33037304395317502</v>
      </c>
      <c r="F119" s="404"/>
      <c r="G119" s="320">
        <f>-G19/G18</f>
        <v>0.42363085086223534</v>
      </c>
      <c r="H119" s="321"/>
      <c r="I119" s="320">
        <f>-I19/I18</f>
        <v>0.42328205757799298</v>
      </c>
      <c r="J119" s="321"/>
      <c r="K119" s="320">
        <f>-K19/K18</f>
        <v>0.32071395347826287</v>
      </c>
      <c r="L119" s="321"/>
      <c r="M119" s="320">
        <f>-M19/M18</f>
        <v>0.2967020324683603</v>
      </c>
      <c r="N119" s="7"/>
      <c r="O119" s="7"/>
      <c r="P119" s="7"/>
      <c r="Q119" s="7"/>
      <c r="R119" s="7"/>
      <c r="S119" s="7"/>
    </row>
    <row r="120" spans="1:19">
      <c r="A120" s="278"/>
      <c r="B120" s="359"/>
      <c r="C120" s="299"/>
      <c r="D120" s="299"/>
      <c r="E120" s="298"/>
      <c r="F120" s="404"/>
      <c r="G120" s="298"/>
      <c r="H120" s="299"/>
      <c r="I120" s="308"/>
      <c r="J120" s="299"/>
      <c r="K120" s="298"/>
      <c r="L120" s="299"/>
      <c r="M120" s="299"/>
    </row>
    <row r="121" spans="1:19" s="3" customFormat="1">
      <c r="A121" s="273"/>
      <c r="B121" s="291"/>
      <c r="C121" s="284"/>
      <c r="D121" s="284"/>
      <c r="E121" s="291"/>
      <c r="F121" s="404"/>
      <c r="G121" s="291"/>
      <c r="H121" s="284"/>
      <c r="I121" s="291"/>
      <c r="J121" s="284"/>
      <c r="K121" s="291"/>
      <c r="L121" s="284"/>
      <c r="M121" s="284"/>
      <c r="N121" s="7"/>
      <c r="O121" s="7"/>
      <c r="P121" s="7"/>
      <c r="Q121" s="7"/>
      <c r="R121" s="7"/>
      <c r="S121" s="7"/>
    </row>
    <row r="122" spans="1:19" s="3" customFormat="1">
      <c r="A122" s="273" t="s">
        <v>100</v>
      </c>
      <c r="B122" s="306">
        <f>-B98-B97-B101</f>
        <v>108.499</v>
      </c>
      <c r="C122" s="274"/>
      <c r="D122" s="306">
        <f>-D98-D97-D101</f>
        <v>72.39</v>
      </c>
      <c r="E122" s="358">
        <f>-E98-E97-E101</f>
        <v>609.49</v>
      </c>
      <c r="F122" s="405">
        <f>IF((+E122/G122)&lt;0,"n.m.",IF(E122&lt;0,(+E122/G122-1)*-1,(+E122/G122-1)))</f>
        <v>0.43362186573834482</v>
      </c>
      <c r="G122" s="306">
        <f>-G98-G97-G101</f>
        <v>425.14000000000004</v>
      </c>
      <c r="H122" s="275">
        <f>(G122-I122)/I122</f>
        <v>-3.8964112248507017E-3</v>
      </c>
      <c r="I122" s="306">
        <f>-I98-I97-I101</f>
        <v>426.803</v>
      </c>
      <c r="J122" s="275">
        <f>(I122-K122)/K122</f>
        <v>1.4203019775394047E-2</v>
      </c>
      <c r="K122" s="306">
        <f>-K98-K97-K101</f>
        <v>420.82600000000002</v>
      </c>
      <c r="L122" s="275">
        <f>(K122-M122)/M122</f>
        <v>-0.19172180660526839</v>
      </c>
      <c r="M122" s="306">
        <f>-M98-M97-M101</f>
        <v>520.64499999999998</v>
      </c>
      <c r="N122" s="7"/>
      <c r="O122" s="7"/>
      <c r="P122" s="7"/>
      <c r="Q122" s="7"/>
      <c r="R122" s="7"/>
      <c r="S122" s="7"/>
    </row>
    <row r="123" spans="1:19">
      <c r="A123" s="278"/>
      <c r="B123" s="298"/>
      <c r="C123" s="299"/>
      <c r="D123" s="299"/>
      <c r="E123" s="298"/>
      <c r="F123" s="298"/>
      <c r="G123" s="298"/>
      <c r="H123" s="299"/>
      <c r="I123" s="298"/>
      <c r="J123" s="299"/>
      <c r="K123" s="298"/>
      <c r="L123" s="299"/>
      <c r="M123" s="299"/>
    </row>
    <row r="124" spans="1:19" s="3" customFormat="1">
      <c r="A124" s="3" t="s">
        <v>101</v>
      </c>
      <c r="B124" s="22"/>
      <c r="C124" s="18"/>
      <c r="D124" s="18"/>
      <c r="E124" s="22"/>
      <c r="F124" s="22"/>
      <c r="G124" s="22"/>
      <c r="H124" s="44"/>
      <c r="I124" s="43"/>
      <c r="J124" s="44"/>
      <c r="K124" s="22"/>
      <c r="L124" s="18"/>
      <c r="M124" s="18"/>
      <c r="N124" s="7"/>
      <c r="O124" s="7"/>
      <c r="P124" s="7"/>
      <c r="Q124" s="7"/>
      <c r="R124" s="7"/>
      <c r="S124" s="7"/>
    </row>
    <row r="125" spans="1:19" s="3" customFormat="1">
      <c r="A125" s="11" t="s">
        <v>102</v>
      </c>
      <c r="B125" s="30">
        <v>28790</v>
      </c>
      <c r="C125" s="239">
        <f>IF((+B125/D125)&lt;0,"n.m.",IF(B125&lt;0,(+B125/D125-1)*-1,(+B125/D125-1)))</f>
        <v>2.5394450974106864E-2</v>
      </c>
      <c r="D125" s="483">
        <v>28077</v>
      </c>
      <c r="E125" s="409">
        <v>28846</v>
      </c>
      <c r="F125" s="408">
        <f t="shared" ref="F125:F152" si="49">IF((+E125/G125)&lt;0,"n.m.",IF(E125&lt;0,(+E125/G125-1)*-1,(+E125/G125-1)))</f>
        <v>-4.9672300793377477E-3</v>
      </c>
      <c r="G125" s="30">
        <v>28990</v>
      </c>
      <c r="H125" s="12">
        <f>IF((+G125/I125)&lt;0,"n.m.",IF(G125&lt;0,(+G125/I125-1)*-1,(+G125/I125-1)))</f>
        <v>5.2230409059562222E-2</v>
      </c>
      <c r="I125" s="260">
        <v>27551</v>
      </c>
      <c r="J125" s="12">
        <f>IF((+I125/K125)&lt;0,"n.m.",IF(I125&lt;0,(+I125/K125-1)*-1,(+I125/K125-1)))</f>
        <v>1.5143699336772398E-2</v>
      </c>
      <c r="K125" s="30">
        <v>27140</v>
      </c>
      <c r="L125" s="13"/>
      <c r="M125" s="31"/>
      <c r="N125" s="7"/>
      <c r="O125" s="7"/>
      <c r="P125" s="7"/>
      <c r="Q125" s="7"/>
      <c r="R125" s="7"/>
      <c r="S125" s="7"/>
    </row>
    <row r="126" spans="1:19" s="3" customFormat="1">
      <c r="A126" s="11" t="s">
        <v>103</v>
      </c>
      <c r="B126" s="30">
        <v>9100</v>
      </c>
      <c r="C126" s="239">
        <f t="shared" ref="C126:C155" si="50">IF((+B126/D126)&lt;0,"n.m.",IF(B126&lt;0,(+B126/D126-1)*-1,(+B126/D126-1)))</f>
        <v>2.0637056976222423E-2</v>
      </c>
      <c r="D126" s="483">
        <v>8916</v>
      </c>
      <c r="E126" s="409">
        <v>10314</v>
      </c>
      <c r="F126" s="408">
        <f t="shared" si="49"/>
        <v>-3.09298279528325E-3</v>
      </c>
      <c r="G126" s="30">
        <v>10346</v>
      </c>
      <c r="H126" s="12">
        <f t="shared" ref="H126:J146" si="51">IF((+G126/I126)&lt;0,"n.m.",IF(G126&lt;0,(+G126/I126-1)*-1,(+G126/I126-1)))</f>
        <v>4.9290060851926887E-2</v>
      </c>
      <c r="I126" s="260">
        <v>9860</v>
      </c>
      <c r="J126" s="12">
        <f t="shared" si="51"/>
        <v>1.7019082001031416E-2</v>
      </c>
      <c r="K126" s="30">
        <v>9695</v>
      </c>
      <c r="L126" s="13"/>
      <c r="M126" s="31"/>
      <c r="N126" s="7"/>
      <c r="O126" s="7"/>
      <c r="P126" s="7"/>
      <c r="Q126" s="7"/>
      <c r="R126" s="7"/>
      <c r="S126" s="7"/>
    </row>
    <row r="127" spans="1:19" s="3" customFormat="1">
      <c r="A127" s="17" t="s">
        <v>104</v>
      </c>
      <c r="B127" s="30">
        <v>4601</v>
      </c>
      <c r="C127" s="239">
        <f t="shared" si="50"/>
        <v>1.4553472987872018E-2</v>
      </c>
      <c r="D127" s="483">
        <v>4535</v>
      </c>
      <c r="E127" s="409">
        <v>4554</v>
      </c>
      <c r="F127" s="408">
        <f t="shared" si="49"/>
        <v>2.1763518061476361E-2</v>
      </c>
      <c r="G127" s="30">
        <v>4457</v>
      </c>
      <c r="H127" s="12">
        <f t="shared" si="51"/>
        <v>3.1235539102267396E-2</v>
      </c>
      <c r="I127" s="260">
        <v>4322</v>
      </c>
      <c r="J127" s="12">
        <f t="shared" si="51"/>
        <v>-0.12065106815869786</v>
      </c>
      <c r="K127" s="30">
        <v>4915</v>
      </c>
      <c r="L127" s="13"/>
      <c r="M127" s="31"/>
      <c r="N127" s="7"/>
      <c r="O127" s="7"/>
      <c r="P127" s="7"/>
      <c r="Q127" s="7"/>
      <c r="R127" s="7"/>
      <c r="S127" s="7"/>
    </row>
    <row r="128" spans="1:19" s="3" customFormat="1">
      <c r="A128" s="17" t="s">
        <v>105</v>
      </c>
      <c r="B128" s="30">
        <v>3225</v>
      </c>
      <c r="C128" s="239">
        <f t="shared" si="50"/>
        <v>-9.2936802973975219E-4</v>
      </c>
      <c r="D128" s="483">
        <v>3228</v>
      </c>
      <c r="E128" s="409">
        <v>3672</v>
      </c>
      <c r="F128" s="408">
        <f t="shared" si="49"/>
        <v>-5.4171180931744667E-3</v>
      </c>
      <c r="G128" s="30">
        <v>3692</v>
      </c>
      <c r="H128" s="12">
        <f t="shared" si="51"/>
        <v>1.067615658362997E-2</v>
      </c>
      <c r="I128" s="260">
        <v>3653</v>
      </c>
      <c r="J128" s="12">
        <f t="shared" si="51"/>
        <v>-3.7163943068002081E-2</v>
      </c>
      <c r="K128" s="30">
        <v>3794</v>
      </c>
      <c r="L128" s="13"/>
      <c r="M128" s="31"/>
      <c r="N128" s="7"/>
      <c r="O128" s="7"/>
      <c r="P128" s="7"/>
      <c r="Q128" s="7"/>
      <c r="R128" s="7"/>
      <c r="S128" s="7"/>
    </row>
    <row r="129" spans="1:19">
      <c r="A129" s="17" t="s">
        <v>106</v>
      </c>
      <c r="B129" s="30">
        <v>2622</v>
      </c>
      <c r="C129" s="239">
        <f t="shared" si="50"/>
        <v>1.3921113689095099E-2</v>
      </c>
      <c r="D129" s="483">
        <v>2586</v>
      </c>
      <c r="E129" s="409">
        <v>2595</v>
      </c>
      <c r="F129" s="408">
        <f t="shared" si="49"/>
        <v>-3.7462908011869467E-2</v>
      </c>
      <c r="G129" s="30">
        <v>2696</v>
      </c>
      <c r="H129" s="12">
        <f t="shared" si="51"/>
        <v>-7.3637702503681624E-3</v>
      </c>
      <c r="I129" s="260">
        <v>2716</v>
      </c>
      <c r="J129" s="12">
        <f t="shared" si="51"/>
        <v>7.8205637157602315E-2</v>
      </c>
      <c r="K129" s="30">
        <v>2519</v>
      </c>
      <c r="L129" s="13"/>
      <c r="M129" s="31"/>
    </row>
    <row r="130" spans="1:19">
      <c r="A130" s="17" t="s">
        <v>154</v>
      </c>
      <c r="B130" s="30">
        <v>930</v>
      </c>
      <c r="C130" s="239">
        <f t="shared" si="50"/>
        <v>-0.15454545454545454</v>
      </c>
      <c r="D130" s="483">
        <v>1100</v>
      </c>
      <c r="E130" s="409">
        <v>1151</v>
      </c>
      <c r="F130" s="408">
        <f t="shared" si="49"/>
        <v>-0.16835260115606931</v>
      </c>
      <c r="G130" s="30">
        <v>1384</v>
      </c>
      <c r="H130" s="12">
        <f t="shared" si="51"/>
        <v>-0.29817444219066935</v>
      </c>
      <c r="I130" s="260">
        <v>1972</v>
      </c>
      <c r="J130" s="12">
        <f t="shared" si="51"/>
        <v>-0.23536254362155873</v>
      </c>
      <c r="K130" s="30">
        <v>2579</v>
      </c>
      <c r="L130" s="13"/>
      <c r="M130" s="31"/>
    </row>
    <row r="131" spans="1:19">
      <c r="A131" s="17" t="s">
        <v>107</v>
      </c>
      <c r="B131" s="30">
        <v>1864</v>
      </c>
      <c r="C131" s="239">
        <f t="shared" si="50"/>
        <v>4.1922861934041267E-2</v>
      </c>
      <c r="D131" s="483">
        <v>1789</v>
      </c>
      <c r="E131" s="409">
        <v>1831</v>
      </c>
      <c r="F131" s="408">
        <f t="shared" si="49"/>
        <v>7.1507150715071077E-3</v>
      </c>
      <c r="G131" s="30">
        <v>1818</v>
      </c>
      <c r="H131" s="12">
        <f t="shared" si="51"/>
        <v>1.6778523489932917E-2</v>
      </c>
      <c r="I131" s="260">
        <v>1788</v>
      </c>
      <c r="J131" s="12">
        <f t="shared" si="51"/>
        <v>-2.0273972602739776E-2</v>
      </c>
      <c r="K131" s="30">
        <v>1825</v>
      </c>
      <c r="L131" s="13"/>
      <c r="M131" s="31"/>
    </row>
    <row r="132" spans="1:19">
      <c r="A132" s="17" t="s">
        <v>108</v>
      </c>
      <c r="B132" s="30">
        <v>1326</v>
      </c>
      <c r="C132" s="239">
        <f t="shared" si="50"/>
        <v>5.4054054054053946E-2</v>
      </c>
      <c r="D132" s="483">
        <v>1258</v>
      </c>
      <c r="E132" s="409">
        <v>1323</v>
      </c>
      <c r="F132" s="408">
        <f t="shared" si="49"/>
        <v>4.2553191489361764E-2</v>
      </c>
      <c r="G132" s="30">
        <v>1269</v>
      </c>
      <c r="H132" s="12">
        <f t="shared" si="51"/>
        <v>-1.1682242990654235E-2</v>
      </c>
      <c r="I132" s="260">
        <v>1284</v>
      </c>
      <c r="J132" s="12">
        <f t="shared" si="51"/>
        <v>-0.14854111405835546</v>
      </c>
      <c r="K132" s="30">
        <v>1508</v>
      </c>
      <c r="L132" s="13"/>
      <c r="M132" s="31"/>
    </row>
    <row r="133" spans="1:19">
      <c r="A133" s="17" t="s">
        <v>109</v>
      </c>
      <c r="B133" s="30">
        <v>781</v>
      </c>
      <c r="C133" s="239">
        <f t="shared" si="50"/>
        <v>0.15532544378698221</v>
      </c>
      <c r="D133" s="483">
        <v>676</v>
      </c>
      <c r="E133" s="409">
        <v>705</v>
      </c>
      <c r="F133" s="408">
        <f t="shared" si="49"/>
        <v>1.7316017316017396E-2</v>
      </c>
      <c r="G133" s="30">
        <v>693</v>
      </c>
      <c r="H133" s="12">
        <f t="shared" si="51"/>
        <v>-6.4777327935222617E-2</v>
      </c>
      <c r="I133" s="260">
        <v>741</v>
      </c>
      <c r="J133" s="12">
        <f t="shared" si="51"/>
        <v>-7.7210460772104583E-2</v>
      </c>
      <c r="K133" s="30">
        <v>803</v>
      </c>
      <c r="L133" s="13"/>
      <c r="M133" s="31"/>
    </row>
    <row r="134" spans="1:19">
      <c r="A134" s="17" t="s">
        <v>110</v>
      </c>
      <c r="B134" s="30">
        <v>213</v>
      </c>
      <c r="C134" s="239">
        <f t="shared" si="50"/>
        <v>0</v>
      </c>
      <c r="D134" s="483">
        <v>213</v>
      </c>
      <c r="E134" s="409">
        <v>214</v>
      </c>
      <c r="F134" s="408">
        <f t="shared" si="49"/>
        <v>-1.3824884792626779E-2</v>
      </c>
      <c r="G134" s="30">
        <v>217</v>
      </c>
      <c r="H134" s="12">
        <f t="shared" si="51"/>
        <v>0.16042780748663099</v>
      </c>
      <c r="I134" s="260">
        <v>187</v>
      </c>
      <c r="J134" s="12">
        <f t="shared" si="51"/>
        <v>1.08108108108107E-2</v>
      </c>
      <c r="K134" s="30">
        <v>185</v>
      </c>
      <c r="L134" s="13"/>
      <c r="M134" s="31"/>
    </row>
    <row r="135" spans="1:19">
      <c r="A135" s="17" t="s">
        <v>111</v>
      </c>
      <c r="B135" s="30">
        <v>912</v>
      </c>
      <c r="C135" s="239">
        <f t="shared" si="50"/>
        <v>0.15589353612167289</v>
      </c>
      <c r="D135" s="483">
        <v>789</v>
      </c>
      <c r="E135" s="409">
        <v>880</v>
      </c>
      <c r="F135" s="408">
        <f t="shared" si="49"/>
        <v>0.23422159887798033</v>
      </c>
      <c r="G135" s="30">
        <v>713</v>
      </c>
      <c r="H135" s="12">
        <f t="shared" si="51"/>
        <v>8.6890243902439046E-2</v>
      </c>
      <c r="I135" s="260">
        <v>656</v>
      </c>
      <c r="J135" s="12">
        <f t="shared" si="51"/>
        <v>1.8633540372670732E-2</v>
      </c>
      <c r="K135" s="30">
        <v>644</v>
      </c>
      <c r="L135" s="13"/>
      <c r="M135" s="31"/>
    </row>
    <row r="136" spans="1:19">
      <c r="A136" s="17" t="s">
        <v>112</v>
      </c>
      <c r="B136" s="30">
        <v>335</v>
      </c>
      <c r="C136" s="239">
        <f t="shared" si="50"/>
        <v>-4.2857142857142816E-2</v>
      </c>
      <c r="D136" s="483">
        <v>350</v>
      </c>
      <c r="E136" s="409">
        <v>342</v>
      </c>
      <c r="F136" s="408">
        <f t="shared" si="49"/>
        <v>5.8823529411764497E-3</v>
      </c>
      <c r="G136" s="30">
        <v>340</v>
      </c>
      <c r="H136" s="12">
        <f t="shared" si="51"/>
        <v>0.1371237458193979</v>
      </c>
      <c r="I136" s="260">
        <v>299</v>
      </c>
      <c r="J136" s="12">
        <f t="shared" si="51"/>
        <v>0.32888888888888879</v>
      </c>
      <c r="K136" s="30">
        <v>225</v>
      </c>
      <c r="L136" s="13"/>
      <c r="M136" s="31"/>
    </row>
    <row r="137" spans="1:19">
      <c r="A137" s="17" t="s">
        <v>113</v>
      </c>
      <c r="B137" s="30">
        <v>1077</v>
      </c>
      <c r="C137" s="239">
        <f t="shared" si="50"/>
        <v>-0.14726840855106893</v>
      </c>
      <c r="D137" s="483">
        <v>1263</v>
      </c>
      <c r="E137" s="409">
        <v>1224</v>
      </c>
      <c r="F137" s="408">
        <f t="shared" si="49"/>
        <v>-9.1314031180400934E-2</v>
      </c>
      <c r="G137" s="30">
        <v>1347</v>
      </c>
      <c r="H137" s="12">
        <f t="shared" si="51"/>
        <v>-0.11556139198949444</v>
      </c>
      <c r="I137" s="260">
        <v>1523</v>
      </c>
      <c r="J137" s="12">
        <f t="shared" si="51"/>
        <v>-0.11504938988959912</v>
      </c>
      <c r="K137" s="30">
        <v>1721</v>
      </c>
      <c r="L137" s="13"/>
      <c r="M137" s="31"/>
    </row>
    <row r="138" spans="1:19">
      <c r="A138" s="11" t="s">
        <v>114</v>
      </c>
      <c r="B138" s="34">
        <v>625</v>
      </c>
      <c r="C138" s="239">
        <f t="shared" si="50"/>
        <v>2.2913256955810146E-2</v>
      </c>
      <c r="D138" s="328">
        <v>611</v>
      </c>
      <c r="E138" s="410">
        <v>634</v>
      </c>
      <c r="F138" s="408">
        <f t="shared" si="49"/>
        <v>-9.9431818181818232E-2</v>
      </c>
      <c r="G138" s="34">
        <v>704</v>
      </c>
      <c r="H138" s="12">
        <f t="shared" si="51"/>
        <v>-0.12655086848635233</v>
      </c>
      <c r="I138" s="260">
        <v>806</v>
      </c>
      <c r="J138" s="12">
        <f t="shared" si="51"/>
        <v>-0.18668012108980825</v>
      </c>
      <c r="K138" s="34">
        <v>991</v>
      </c>
      <c r="L138" s="13"/>
      <c r="M138" s="35"/>
    </row>
    <row r="139" spans="1:19">
      <c r="A139" s="11" t="s">
        <v>115</v>
      </c>
      <c r="B139" s="30">
        <v>420</v>
      </c>
      <c r="C139" s="239">
        <f t="shared" si="50"/>
        <v>-4.3280182232346198E-2</v>
      </c>
      <c r="D139" s="483">
        <v>439</v>
      </c>
      <c r="E139" s="409">
        <v>432</v>
      </c>
      <c r="F139" s="408">
        <f t="shared" si="49"/>
        <v>-0.11111111111111116</v>
      </c>
      <c r="G139" s="30">
        <v>486</v>
      </c>
      <c r="H139" s="12">
        <f t="shared" si="51"/>
        <v>-0.19269102990033227</v>
      </c>
      <c r="I139" s="260">
        <v>602</v>
      </c>
      <c r="J139" s="12">
        <f t="shared" si="51"/>
        <v>-0.17307692307692313</v>
      </c>
      <c r="K139" s="30">
        <v>728</v>
      </c>
      <c r="L139" s="13"/>
      <c r="M139" s="31"/>
    </row>
    <row r="140" spans="1:19" s="3" customFormat="1">
      <c r="A140" s="11" t="s">
        <v>116</v>
      </c>
      <c r="B140" s="30">
        <v>218</v>
      </c>
      <c r="C140" s="239">
        <f t="shared" si="50"/>
        <v>-0.23508771929824557</v>
      </c>
      <c r="D140" s="483">
        <v>285</v>
      </c>
      <c r="E140" s="409">
        <v>257</v>
      </c>
      <c r="F140" s="408">
        <f t="shared" si="49"/>
        <v>-0.2614942528735632</v>
      </c>
      <c r="G140" s="30">
        <v>348</v>
      </c>
      <c r="H140" s="12">
        <f t="shared" si="51"/>
        <v>-2.2471910112359605E-2</v>
      </c>
      <c r="I140" s="260">
        <v>356</v>
      </c>
      <c r="J140" s="12">
        <f t="shared" si="51"/>
        <v>0.29454545454545444</v>
      </c>
      <c r="K140" s="30">
        <v>275</v>
      </c>
      <c r="L140" s="13"/>
      <c r="M140" s="31"/>
      <c r="N140" s="7"/>
      <c r="O140" s="7"/>
      <c r="P140" s="7"/>
      <c r="Q140" s="7"/>
      <c r="R140" s="7"/>
      <c r="S140" s="7"/>
    </row>
    <row r="141" spans="1:19">
      <c r="A141" s="11" t="s">
        <v>117</v>
      </c>
      <c r="B141" s="30">
        <v>421</v>
      </c>
      <c r="C141" s="239">
        <f t="shared" si="50"/>
        <v>-0.17288801571709234</v>
      </c>
      <c r="D141" s="483">
        <v>509</v>
      </c>
      <c r="E141" s="409">
        <v>492</v>
      </c>
      <c r="F141" s="408">
        <f t="shared" si="49"/>
        <v>-4.4660194174757306E-2</v>
      </c>
      <c r="G141" s="30">
        <v>515</v>
      </c>
      <c r="H141" s="12">
        <f t="shared" si="51"/>
        <v>-9.330985915492962E-2</v>
      </c>
      <c r="I141" s="260">
        <v>568</v>
      </c>
      <c r="J141" s="12">
        <f t="shared" si="51"/>
        <v>1.3089430894308944</v>
      </c>
      <c r="K141" s="30">
        <v>246</v>
      </c>
      <c r="L141" s="13"/>
      <c r="M141" s="31"/>
    </row>
    <row r="142" spans="1:19">
      <c r="A142" s="11" t="s">
        <v>118</v>
      </c>
      <c r="B142" s="30">
        <v>1201</v>
      </c>
      <c r="C142" s="239">
        <f t="shared" si="50"/>
        <v>0.4417767106842736</v>
      </c>
      <c r="D142" s="483">
        <v>833</v>
      </c>
      <c r="E142" s="409">
        <v>990</v>
      </c>
      <c r="F142" s="408">
        <f t="shared" si="49"/>
        <v>5.2072263549415521E-2</v>
      </c>
      <c r="G142" s="30">
        <v>941</v>
      </c>
      <c r="H142" s="12">
        <f t="shared" si="51"/>
        <v>-6.27490039840638E-2</v>
      </c>
      <c r="I142" s="260">
        <v>1004</v>
      </c>
      <c r="J142" s="12">
        <f t="shared" si="51"/>
        <v>0.13063063063063063</v>
      </c>
      <c r="K142" s="30">
        <v>888</v>
      </c>
      <c r="L142" s="13"/>
      <c r="M142" s="31"/>
    </row>
    <row r="143" spans="1:19">
      <c r="A143" s="11" t="s">
        <v>119</v>
      </c>
      <c r="B143" s="30">
        <v>3991</v>
      </c>
      <c r="C143" s="239">
        <f t="shared" si="50"/>
        <v>-0.23441396508728185</v>
      </c>
      <c r="D143" s="483">
        <v>5213</v>
      </c>
      <c r="E143" s="409">
        <v>4636</v>
      </c>
      <c r="F143" s="408">
        <f t="shared" si="49"/>
        <v>-0.22513789069028911</v>
      </c>
      <c r="G143" s="30">
        <v>5983</v>
      </c>
      <c r="H143" s="12">
        <f t="shared" si="51"/>
        <v>-0.11125965537730242</v>
      </c>
      <c r="I143" s="260">
        <v>6732</v>
      </c>
      <c r="J143" s="12">
        <f t="shared" si="51"/>
        <v>4.5828802237066979E-2</v>
      </c>
      <c r="K143" s="30">
        <v>6437</v>
      </c>
      <c r="L143" s="13"/>
      <c r="M143" s="31"/>
    </row>
    <row r="144" spans="1:19">
      <c r="A144" s="11" t="s">
        <v>120</v>
      </c>
      <c r="B144" s="30">
        <v>5099</v>
      </c>
      <c r="C144" s="239">
        <f t="shared" si="50"/>
        <v>0.13690078037904119</v>
      </c>
      <c r="D144" s="483">
        <v>4485</v>
      </c>
      <c r="E144" s="409">
        <v>5007</v>
      </c>
      <c r="F144" s="408">
        <f t="shared" si="49"/>
        <v>0.19384835479256091</v>
      </c>
      <c r="G144" s="30">
        <v>4194</v>
      </c>
      <c r="H144" s="12">
        <f t="shared" si="51"/>
        <v>0.34293948126801155</v>
      </c>
      <c r="I144" s="30">
        <v>3123</v>
      </c>
      <c r="J144" s="12">
        <f t="shared" si="51"/>
        <v>0.19243986254295531</v>
      </c>
      <c r="K144" s="30">
        <v>2619</v>
      </c>
      <c r="L144" s="36"/>
      <c r="M144" s="31"/>
    </row>
    <row r="145" spans="1:19">
      <c r="A145" s="11" t="s">
        <v>121</v>
      </c>
      <c r="B145" s="39">
        <v>1127</v>
      </c>
      <c r="C145" s="239">
        <f t="shared" si="50"/>
        <v>3.6798528058877622E-2</v>
      </c>
      <c r="D145" s="484">
        <v>1087</v>
      </c>
      <c r="E145" s="411">
        <v>1010</v>
      </c>
      <c r="F145" s="408">
        <f t="shared" si="49"/>
        <v>-0.23600605143721631</v>
      </c>
      <c r="G145" s="39">
        <v>1322</v>
      </c>
      <c r="H145" s="12">
        <f t="shared" si="51"/>
        <v>-0.45974662852472414</v>
      </c>
      <c r="I145" s="39">
        <v>2447</v>
      </c>
      <c r="J145" s="12">
        <f t="shared" si="51"/>
        <v>-7.5207860922146597E-2</v>
      </c>
      <c r="K145" s="39">
        <v>2646</v>
      </c>
      <c r="L145" s="13"/>
      <c r="M145" s="40"/>
    </row>
    <row r="146" spans="1:19">
      <c r="A146" s="11" t="s">
        <v>122</v>
      </c>
      <c r="B146" s="39">
        <v>801</v>
      </c>
      <c r="C146" s="239">
        <f t="shared" si="50"/>
        <v>0.41519434628975271</v>
      </c>
      <c r="D146" s="484">
        <v>566</v>
      </c>
      <c r="E146" s="411">
        <v>730</v>
      </c>
      <c r="F146" s="408">
        <f t="shared" si="49"/>
        <v>-0.15116279069767447</v>
      </c>
      <c r="G146" s="39">
        <v>860</v>
      </c>
      <c r="H146" s="12">
        <f t="shared" si="51"/>
        <v>0.2011173184357542</v>
      </c>
      <c r="I146" s="39">
        <v>716</v>
      </c>
      <c r="J146" s="12">
        <f t="shared" si="51"/>
        <v>-1.3947001394699621E-3</v>
      </c>
      <c r="K146" s="39">
        <v>717</v>
      </c>
      <c r="L146" s="13"/>
      <c r="M146" s="40"/>
    </row>
    <row r="147" spans="1:19">
      <c r="A147" s="24" t="s">
        <v>102</v>
      </c>
      <c r="B147" s="41">
        <f>B125</f>
        <v>28790</v>
      </c>
      <c r="C147" s="239">
        <f t="shared" si="50"/>
        <v>2.5394450974106864E-2</v>
      </c>
      <c r="D147" s="41">
        <f>D125</f>
        <v>28077</v>
      </c>
      <c r="E147" s="329">
        <f>E125</f>
        <v>28846</v>
      </c>
      <c r="F147" s="408">
        <f t="shared" si="49"/>
        <v>-4.9672300793377477E-3</v>
      </c>
      <c r="G147" s="41">
        <f>G125</f>
        <v>28990</v>
      </c>
      <c r="H147" s="12">
        <f t="shared" ref="H147:J152" si="52">IF((+G147/I147)&lt;0,"n.m.",IF(G147&lt;0,(+G147/I147-1)*-1,(+G147/I147-1)))</f>
        <v>5.2230409059562222E-2</v>
      </c>
      <c r="I147" s="41">
        <f>I125</f>
        <v>27551</v>
      </c>
      <c r="J147" s="12">
        <f t="shared" si="52"/>
        <v>1.5143699336772398E-2</v>
      </c>
      <c r="K147" s="41">
        <f>K125</f>
        <v>27140</v>
      </c>
      <c r="L147" s="13"/>
      <c r="M147" s="42"/>
    </row>
    <row r="148" spans="1:19">
      <c r="A148" s="24" t="s">
        <v>103</v>
      </c>
      <c r="B148" s="41">
        <f>B126</f>
        <v>9100</v>
      </c>
      <c r="C148" s="239">
        <f t="shared" si="50"/>
        <v>2.0637056976222423E-2</v>
      </c>
      <c r="D148" s="41">
        <f>D126</f>
        <v>8916</v>
      </c>
      <c r="E148" s="329">
        <f>E126</f>
        <v>10314</v>
      </c>
      <c r="F148" s="408">
        <f t="shared" si="49"/>
        <v>-3.09298279528325E-3</v>
      </c>
      <c r="G148" s="41">
        <f>G126</f>
        <v>10346</v>
      </c>
      <c r="H148" s="12">
        <f t="shared" si="52"/>
        <v>4.9290060851926887E-2</v>
      </c>
      <c r="I148" s="41">
        <f>I126</f>
        <v>9860</v>
      </c>
      <c r="J148" s="12">
        <f t="shared" si="52"/>
        <v>1.7019082001031416E-2</v>
      </c>
      <c r="K148" s="41">
        <f>K126</f>
        <v>9695</v>
      </c>
      <c r="L148" s="13"/>
      <c r="M148" s="42"/>
    </row>
    <row r="149" spans="1:19" s="3" customFormat="1">
      <c r="A149" s="24" t="s">
        <v>123</v>
      </c>
      <c r="B149" s="34">
        <f>B127+B128+B129+B130+B131+B132+B133+B134+B135+B136</f>
        <v>16809</v>
      </c>
      <c r="C149" s="239">
        <f t="shared" si="50"/>
        <v>1.7247639796659442E-2</v>
      </c>
      <c r="D149" s="34">
        <f>D127+D128+D129+D130+D131+D132+D133+D134+D135+D136</f>
        <v>16524</v>
      </c>
      <c r="E149" s="328">
        <f>E127+E128+E129+E130+E131+E132+E133+E134+E135+E136</f>
        <v>17267</v>
      </c>
      <c r="F149" s="408">
        <f t="shared" si="49"/>
        <v>-6.9448463452748133E-4</v>
      </c>
      <c r="G149" s="34">
        <f>G127+G128+G129+G130+G131+G132+G133+G134+G135+G136</f>
        <v>17279</v>
      </c>
      <c r="H149" s="12">
        <f t="shared" si="52"/>
        <v>-1.9241684640708412E-2</v>
      </c>
      <c r="I149" s="34">
        <f>I127+I128+I129+I130+I131+I132+I133+I134+I135+I136</f>
        <v>17618</v>
      </c>
      <c r="J149" s="12">
        <f t="shared" si="52"/>
        <v>-7.2590409011949242E-2</v>
      </c>
      <c r="K149" s="34">
        <f>K127+K128+K129+K130+K131+K132+K133+K134+K135+K136</f>
        <v>18997</v>
      </c>
      <c r="L149" s="13"/>
      <c r="M149" s="35"/>
      <c r="N149" s="7"/>
      <c r="O149" s="7"/>
      <c r="P149" s="7"/>
      <c r="Q149" s="7"/>
      <c r="R149" s="7"/>
      <c r="S149" s="7"/>
    </row>
    <row r="150" spans="1:19" s="3" customFormat="1">
      <c r="A150" s="24" t="s">
        <v>124</v>
      </c>
      <c r="B150" s="34">
        <f>B137+B138+B139+B140+B141+B142</f>
        <v>3962</v>
      </c>
      <c r="C150" s="239">
        <f t="shared" si="50"/>
        <v>5.583756345177715E-3</v>
      </c>
      <c r="D150" s="34">
        <f>D137+D138+D139+D140+D141+D142</f>
        <v>3940</v>
      </c>
      <c r="E150" s="328">
        <f>E137+E138+E139+E140+E141+E142</f>
        <v>4029</v>
      </c>
      <c r="F150" s="408">
        <f t="shared" si="49"/>
        <v>-7.1872840359364254E-2</v>
      </c>
      <c r="G150" s="34">
        <f>G137+G138+G139+G140+G141+G142</f>
        <v>4341</v>
      </c>
      <c r="H150" s="12">
        <f t="shared" si="52"/>
        <v>-0.10660629759209717</v>
      </c>
      <c r="I150" s="34">
        <f>I137+I138+I139+I140+I141+I142</f>
        <v>4859</v>
      </c>
      <c r="J150" s="12">
        <f t="shared" si="52"/>
        <v>2.0622808826562533E-3</v>
      </c>
      <c r="K150" s="34">
        <f>K137+K138+K139+K140+K141+K142</f>
        <v>4849</v>
      </c>
      <c r="L150" s="13"/>
      <c r="M150" s="35"/>
      <c r="N150" s="7"/>
      <c r="O150" s="7"/>
      <c r="P150" s="7"/>
      <c r="Q150" s="7"/>
      <c r="R150" s="7"/>
      <c r="S150" s="7"/>
    </row>
    <row r="151" spans="1:19">
      <c r="A151" s="24" t="s">
        <v>125</v>
      </c>
      <c r="B151" s="34">
        <f>B143+B144+B145+B146</f>
        <v>11018</v>
      </c>
      <c r="C151" s="239">
        <f t="shared" si="50"/>
        <v>-2.9336622324024342E-2</v>
      </c>
      <c r="D151" s="34">
        <f>D143+D144+D145+D146</f>
        <v>11351</v>
      </c>
      <c r="E151" s="328">
        <f>E143+E144+E145+E146</f>
        <v>11383</v>
      </c>
      <c r="F151" s="408">
        <f t="shared" si="49"/>
        <v>-7.8970790517032152E-2</v>
      </c>
      <c r="G151" s="34">
        <f>G143+G144+G145+G146</f>
        <v>12359</v>
      </c>
      <c r="H151" s="12">
        <f t="shared" si="52"/>
        <v>-5.0622215394069747E-2</v>
      </c>
      <c r="I151" s="34">
        <f>I143+I144+I145+I146</f>
        <v>13018</v>
      </c>
      <c r="J151" s="12">
        <f t="shared" si="52"/>
        <v>4.8232546903937523E-2</v>
      </c>
      <c r="K151" s="34">
        <f>K143+K144+K145+K146</f>
        <v>12419</v>
      </c>
      <c r="L151" s="13"/>
      <c r="M151" s="35"/>
    </row>
    <row r="152" spans="1:19" s="3" customFormat="1">
      <c r="A152" s="3" t="s">
        <v>126</v>
      </c>
      <c r="B152" s="43">
        <f>SUM(B147:B151)</f>
        <v>69679</v>
      </c>
      <c r="C152" s="258">
        <f t="shared" si="50"/>
        <v>1.2658411812579873E-2</v>
      </c>
      <c r="D152" s="43">
        <f>SUM(D147:D151)</f>
        <v>68808</v>
      </c>
      <c r="E152" s="330">
        <f>SUM(E147:E151)</f>
        <v>71839</v>
      </c>
      <c r="F152" s="407">
        <f t="shared" si="49"/>
        <v>-2.0132305803723605E-2</v>
      </c>
      <c r="G152" s="43">
        <f>SUM(G147:G151)</f>
        <v>73315</v>
      </c>
      <c r="H152" s="4">
        <f t="shared" si="52"/>
        <v>5.6099635146626969E-3</v>
      </c>
      <c r="I152" s="43">
        <f>SUM(I147:I151)</f>
        <v>72906</v>
      </c>
      <c r="J152" s="4">
        <f t="shared" si="52"/>
        <v>-2.653898768809837E-3</v>
      </c>
      <c r="K152" s="43">
        <f>SUM(K147:K151)</f>
        <v>73100</v>
      </c>
      <c r="L152" s="6">
        <f>(K152-M152)/M152</f>
        <v>-1.229563572490204E-2</v>
      </c>
      <c r="M152" s="44">
        <v>74010</v>
      </c>
      <c r="N152" s="7"/>
      <c r="O152" s="7"/>
      <c r="P152" s="7"/>
      <c r="Q152" s="7"/>
      <c r="R152" s="7"/>
      <c r="S152" s="7"/>
    </row>
    <row r="153" spans="1:19">
      <c r="B153" s="45"/>
      <c r="C153" s="239"/>
      <c r="D153" s="46"/>
      <c r="E153" s="45"/>
      <c r="F153" s="412"/>
      <c r="G153" s="45"/>
      <c r="H153" s="13"/>
      <c r="I153" s="45"/>
      <c r="J153" s="13"/>
      <c r="K153" s="45"/>
      <c r="L153" s="13"/>
      <c r="M153" s="46"/>
    </row>
    <row r="154" spans="1:19">
      <c r="A154" s="11" t="s">
        <v>127</v>
      </c>
      <c r="B154" s="48">
        <v>30133</v>
      </c>
      <c r="C154" s="239">
        <f t="shared" si="50"/>
        <v>7.1128963457983696E-2</v>
      </c>
      <c r="D154" s="485">
        <v>28132</v>
      </c>
      <c r="E154" s="414">
        <v>28458</v>
      </c>
      <c r="F154" s="413">
        <f>IF((+E154/G154)&lt;0,"n.m.",IF(E154&lt;0,(+E154/G154-1)*-1,(+E154/G154-1)))</f>
        <v>-3.2922387223311977E-3</v>
      </c>
      <c r="G154" s="47">
        <v>28552</v>
      </c>
      <c r="H154" s="13">
        <f>(G154-I154)/I154</f>
        <v>2.3846236597697853E-2</v>
      </c>
      <c r="I154" s="47">
        <v>27887</v>
      </c>
      <c r="J154" s="13">
        <f>(I154-K154)/K154</f>
        <v>-7.2621124203481541E-3</v>
      </c>
      <c r="K154" s="47">
        <v>28091</v>
      </c>
      <c r="L154" s="13">
        <f>(K154-M154)/M154</f>
        <v>-7.2097543735642339E-3</v>
      </c>
      <c r="M154" s="48">
        <v>28295</v>
      </c>
    </row>
    <row r="155" spans="1:19">
      <c r="A155" s="11" t="s">
        <v>128</v>
      </c>
      <c r="B155" s="48">
        <v>39546</v>
      </c>
      <c r="C155" s="239">
        <f t="shared" si="50"/>
        <v>-2.7780509391287289E-2</v>
      </c>
      <c r="D155" s="485">
        <v>40676</v>
      </c>
      <c r="E155" s="414">
        <v>43381</v>
      </c>
      <c r="F155" s="413">
        <f>IF((+E155/G155)&lt;0,"n.m.",IF(E155&lt;0,(+E155/G155-1)*-1,(+E155/G155-1)))</f>
        <v>-3.087371266447736E-2</v>
      </c>
      <c r="G155" s="47">
        <v>44763</v>
      </c>
      <c r="H155" s="13">
        <f>(G155-I155)/I155</f>
        <v>-5.6864879273195758E-3</v>
      </c>
      <c r="I155" s="47">
        <v>45019</v>
      </c>
      <c r="J155" s="13">
        <f>(I155-K155)/K155</f>
        <v>2.2217778666488923E-4</v>
      </c>
      <c r="K155" s="47">
        <v>45009</v>
      </c>
      <c r="L155" s="13">
        <f>(K155-M155)/M155</f>
        <v>-1.5443508695176638E-2</v>
      </c>
      <c r="M155" s="48">
        <v>45715</v>
      </c>
    </row>
    <row r="156" spans="1:19">
      <c r="B156" s="49"/>
      <c r="C156" s="50"/>
      <c r="E156" s="262"/>
      <c r="F156" s="262"/>
      <c r="G156" s="262"/>
      <c r="H156" s="50"/>
      <c r="I156" s="49"/>
      <c r="J156" s="50"/>
      <c r="K156" s="49"/>
      <c r="L156" s="50"/>
      <c r="M156" s="50"/>
    </row>
    <row r="157" spans="1:19" s="3" customFormat="1">
      <c r="A157" s="3" t="s">
        <v>3</v>
      </c>
      <c r="B157" s="22"/>
      <c r="C157" s="18"/>
      <c r="D157" s="18"/>
      <c r="E157" s="22"/>
      <c r="F157" s="22"/>
      <c r="G157" s="22"/>
      <c r="H157" s="18"/>
      <c r="I157" s="22"/>
      <c r="J157" s="18"/>
      <c r="K157" s="22"/>
      <c r="L157" s="18"/>
      <c r="M157" s="18"/>
      <c r="N157" s="7"/>
      <c r="O157" s="7"/>
      <c r="P157" s="7"/>
      <c r="Q157" s="7"/>
      <c r="R157" s="7"/>
      <c r="S157" s="7"/>
    </row>
    <row r="158" spans="1:19" s="3" customFormat="1">
      <c r="A158" s="11" t="s">
        <v>102</v>
      </c>
      <c r="B158" s="51">
        <v>1159.1500000000001</v>
      </c>
      <c r="C158" s="239">
        <f t="shared" ref="C158:C215" si="53">IF((+B158/D158)&lt;0,"n.m.",IF(B158&lt;0,(+B158/D158-1)*-1,(+B158/D158-1)))</f>
        <v>7.3545483171874704E-2</v>
      </c>
      <c r="D158" s="486">
        <v>1079.74</v>
      </c>
      <c r="E158" s="418">
        <v>6269.9499999999989</v>
      </c>
      <c r="F158" s="416">
        <f t="shared" ref="F158:F185" si="54">IF((+E158/G158)&lt;0,"n.m.",IF(E158&lt;0,(+E158/G158-1)*-1,(+E158/G158-1)))</f>
        <v>2.2122373167989817E-3</v>
      </c>
      <c r="G158" s="51">
        <v>6256.11</v>
      </c>
      <c r="H158" s="12">
        <f t="shared" ref="H158:J179" si="55">IF((+G158/I158)&lt;0,"n.m.",IF(G158&lt;0,(+G158/I158-1)*-1,(+G158/I158-1)))</f>
        <v>2.8916383922477307E-2</v>
      </c>
      <c r="I158" s="51">
        <v>6080.29</v>
      </c>
      <c r="J158" s="12">
        <f t="shared" si="55"/>
        <v>5.0352317661142676E-2</v>
      </c>
      <c r="K158" s="51">
        <v>5788.81</v>
      </c>
      <c r="L158" s="239"/>
      <c r="M158" s="32"/>
      <c r="N158" s="7"/>
      <c r="O158" s="7"/>
      <c r="P158" s="7"/>
      <c r="Q158" s="7"/>
      <c r="R158" s="7"/>
      <c r="S158" s="7"/>
    </row>
    <row r="159" spans="1:19" s="3" customFormat="1">
      <c r="A159" s="11" t="s">
        <v>103</v>
      </c>
      <c r="B159" s="51">
        <v>371.31</v>
      </c>
      <c r="C159" s="239">
        <f t="shared" si="53"/>
        <v>0.12641062977793971</v>
      </c>
      <c r="D159" s="486">
        <v>329.64</v>
      </c>
      <c r="E159" s="418">
        <v>2098.6200000000003</v>
      </c>
      <c r="F159" s="416">
        <f t="shared" si="54"/>
        <v>4.7748854207231295E-2</v>
      </c>
      <c r="G159" s="51">
        <v>2002.98</v>
      </c>
      <c r="H159" s="12">
        <f t="shared" si="55"/>
        <v>-2.654075884894469E-2</v>
      </c>
      <c r="I159" s="51">
        <v>2057.59</v>
      </c>
      <c r="J159" s="12">
        <f t="shared" si="55"/>
        <v>3.8400201867272443E-2</v>
      </c>
      <c r="K159" s="51">
        <v>1981.5</v>
      </c>
      <c r="L159" s="239"/>
      <c r="M159" s="32"/>
      <c r="N159" s="7"/>
      <c r="O159" s="7"/>
      <c r="P159" s="7"/>
      <c r="Q159" s="7"/>
      <c r="R159" s="7"/>
      <c r="S159" s="7"/>
    </row>
    <row r="160" spans="1:19" s="3" customFormat="1">
      <c r="A160" s="17" t="s">
        <v>104</v>
      </c>
      <c r="B160" s="51">
        <v>86.62</v>
      </c>
      <c r="C160" s="239">
        <f t="shared" si="53"/>
        <v>-0.12672648452464963</v>
      </c>
      <c r="D160" s="486">
        <v>99.19</v>
      </c>
      <c r="E160" s="418">
        <v>773.7399999999999</v>
      </c>
      <c r="F160" s="416">
        <f t="shared" si="54"/>
        <v>-0.17753731025979003</v>
      </c>
      <c r="G160" s="51">
        <v>940.76</v>
      </c>
      <c r="H160" s="12">
        <f t="shared" si="55"/>
        <v>0.15173477632770971</v>
      </c>
      <c r="I160" s="51">
        <v>816.82</v>
      </c>
      <c r="J160" s="12">
        <f t="shared" si="55"/>
        <v>3.7495236885558114E-2</v>
      </c>
      <c r="K160" s="51">
        <v>787.30000000000007</v>
      </c>
      <c r="L160" s="239"/>
      <c r="M160" s="32"/>
      <c r="N160" s="7"/>
      <c r="O160" s="7"/>
      <c r="P160" s="7"/>
      <c r="Q160" s="7"/>
      <c r="R160" s="7"/>
      <c r="S160" s="7"/>
    </row>
    <row r="161" spans="1:19" s="3" customFormat="1">
      <c r="A161" s="17" t="s">
        <v>105</v>
      </c>
      <c r="B161" s="51">
        <v>59.26</v>
      </c>
      <c r="C161" s="239">
        <f t="shared" si="53"/>
        <v>-0.23367386525281264</v>
      </c>
      <c r="D161" s="486">
        <v>77.33</v>
      </c>
      <c r="E161" s="418">
        <v>630.56000000000006</v>
      </c>
      <c r="F161" s="416">
        <f t="shared" si="54"/>
        <v>-0.17530735024849586</v>
      </c>
      <c r="G161" s="51">
        <v>764.6</v>
      </c>
      <c r="H161" s="12">
        <f t="shared" si="55"/>
        <v>0.23406178378901843</v>
      </c>
      <c r="I161" s="51">
        <v>619.58000000000004</v>
      </c>
      <c r="J161" s="12">
        <f t="shared" si="55"/>
        <v>-3.8904228585610712E-2</v>
      </c>
      <c r="K161" s="51">
        <v>644.65999999999985</v>
      </c>
      <c r="L161" s="239"/>
      <c r="M161" s="32"/>
      <c r="N161" s="7"/>
      <c r="O161" s="7"/>
      <c r="P161" s="7"/>
      <c r="Q161" s="7"/>
      <c r="R161" s="7"/>
      <c r="S161" s="7"/>
    </row>
    <row r="162" spans="1:19">
      <c r="A162" s="17" t="s">
        <v>106</v>
      </c>
      <c r="B162" s="51">
        <v>79.349999999999994</v>
      </c>
      <c r="C162" s="239">
        <f t="shared" si="53"/>
        <v>0.75630810092961487</v>
      </c>
      <c r="D162" s="486">
        <v>45.18</v>
      </c>
      <c r="E162" s="418">
        <v>448.12</v>
      </c>
      <c r="F162" s="416">
        <f t="shared" si="54"/>
        <v>-0.24591929458486184</v>
      </c>
      <c r="G162" s="51">
        <v>594.26</v>
      </c>
      <c r="H162" s="12">
        <f t="shared" si="55"/>
        <v>9.1827735724259618E-2</v>
      </c>
      <c r="I162" s="51">
        <v>544.28</v>
      </c>
      <c r="J162" s="12">
        <f t="shared" si="55"/>
        <v>9.7471468322780863E-2</v>
      </c>
      <c r="K162" s="51">
        <v>495.94</v>
      </c>
      <c r="L162" s="239"/>
      <c r="M162" s="32"/>
    </row>
    <row r="163" spans="1:19">
      <c r="A163" s="17" t="s">
        <v>154</v>
      </c>
      <c r="B163" s="51">
        <v>23.68</v>
      </c>
      <c r="C163" s="239">
        <f t="shared" si="53"/>
        <v>0.10447761194029836</v>
      </c>
      <c r="D163" s="486">
        <v>21.44</v>
      </c>
      <c r="E163" s="418">
        <v>138.86000000000001</v>
      </c>
      <c r="F163" s="416">
        <f t="shared" si="54"/>
        <v>-0.39728286818004244</v>
      </c>
      <c r="G163" s="51">
        <v>230.39</v>
      </c>
      <c r="H163" s="12">
        <f t="shared" si="55"/>
        <v>-0.23729599099546461</v>
      </c>
      <c r="I163" s="51">
        <v>302.07</v>
      </c>
      <c r="J163" s="12">
        <f t="shared" si="55"/>
        <v>-0.46183858898984509</v>
      </c>
      <c r="K163" s="51">
        <v>561.30000000000007</v>
      </c>
      <c r="L163" s="239"/>
      <c r="M163" s="32"/>
    </row>
    <row r="164" spans="1:19">
      <c r="A164" s="17" t="s">
        <v>107</v>
      </c>
      <c r="B164" s="51">
        <v>93.03</v>
      </c>
      <c r="C164" s="239">
        <f t="shared" si="53"/>
        <v>-7.062937062937058E-2</v>
      </c>
      <c r="D164" s="486">
        <v>100.1</v>
      </c>
      <c r="E164" s="418">
        <v>461.16</v>
      </c>
      <c r="F164" s="416">
        <f t="shared" si="54"/>
        <v>-0.35622748973950913</v>
      </c>
      <c r="G164" s="51">
        <v>716.34</v>
      </c>
      <c r="H164" s="12">
        <f t="shared" si="55"/>
        <v>0.67710064851450391</v>
      </c>
      <c r="I164" s="51">
        <v>427.13</v>
      </c>
      <c r="J164" s="12">
        <f t="shared" si="55"/>
        <v>0.25471476411491678</v>
      </c>
      <c r="K164" s="51">
        <v>340.42</v>
      </c>
      <c r="L164" s="239"/>
      <c r="M164" s="32"/>
    </row>
    <row r="165" spans="1:19">
      <c r="A165" s="17" t="s">
        <v>108</v>
      </c>
      <c r="B165" s="51">
        <v>21.63</v>
      </c>
      <c r="C165" s="239">
        <f t="shared" si="53"/>
        <v>-0.43613138686131392</v>
      </c>
      <c r="D165" s="486">
        <v>38.36</v>
      </c>
      <c r="E165" s="418">
        <v>253.71</v>
      </c>
      <c r="F165" s="416">
        <f t="shared" si="54"/>
        <v>5.1734858848402121E-2</v>
      </c>
      <c r="G165" s="51">
        <v>241.23</v>
      </c>
      <c r="H165" s="12">
        <f t="shared" si="55"/>
        <v>0.33026359325024801</v>
      </c>
      <c r="I165" s="51">
        <v>181.34</v>
      </c>
      <c r="J165" s="12">
        <f t="shared" si="55"/>
        <v>-0.43653481651803749</v>
      </c>
      <c r="K165" s="51">
        <v>321.83000000000004</v>
      </c>
      <c r="L165" s="239"/>
      <c r="M165" s="32"/>
    </row>
    <row r="166" spans="1:19">
      <c r="A166" s="17" t="s">
        <v>109</v>
      </c>
      <c r="B166" s="51">
        <v>20.92</v>
      </c>
      <c r="C166" s="239">
        <f t="shared" si="53"/>
        <v>0.85132743362831853</v>
      </c>
      <c r="D166" s="486">
        <v>11.3</v>
      </c>
      <c r="E166" s="418">
        <v>78.070000000000007</v>
      </c>
      <c r="F166" s="416">
        <f t="shared" si="54"/>
        <v>0.14741328630217509</v>
      </c>
      <c r="G166" s="51">
        <v>68.040000000000006</v>
      </c>
      <c r="H166" s="12">
        <f t="shared" si="55"/>
        <v>-0.43647507039920486</v>
      </c>
      <c r="I166" s="51">
        <v>120.74</v>
      </c>
      <c r="J166" s="12">
        <f t="shared" si="55"/>
        <v>-9.524166354439878E-2</v>
      </c>
      <c r="K166" s="51">
        <v>133.45000000000002</v>
      </c>
      <c r="L166" s="239"/>
      <c r="M166" s="32"/>
    </row>
    <row r="167" spans="1:19">
      <c r="A167" s="17" t="s">
        <v>110</v>
      </c>
      <c r="B167" s="51">
        <v>9.08</v>
      </c>
      <c r="C167" s="239">
        <f t="shared" si="53"/>
        <v>-5.4166666666666585E-2</v>
      </c>
      <c r="D167" s="486">
        <v>9.6</v>
      </c>
      <c r="E167" s="418">
        <v>65.14</v>
      </c>
      <c r="F167" s="416">
        <f t="shared" si="54"/>
        <v>-0.33814265393212761</v>
      </c>
      <c r="G167" s="51">
        <v>98.42</v>
      </c>
      <c r="H167" s="12">
        <f t="shared" si="55"/>
        <v>0.44374358222091836</v>
      </c>
      <c r="I167" s="51">
        <v>68.17</v>
      </c>
      <c r="J167" s="12">
        <f t="shared" si="55"/>
        <v>1.1424332344213584E-2</v>
      </c>
      <c r="K167" s="51">
        <v>67.400000000000006</v>
      </c>
      <c r="L167" s="239"/>
      <c r="M167" s="32"/>
    </row>
    <row r="168" spans="1:19">
      <c r="A168" s="17" t="s">
        <v>111</v>
      </c>
      <c r="B168" s="51">
        <v>27.71</v>
      </c>
      <c r="C168" s="239">
        <f t="shared" si="53"/>
        <v>1.6929057337220605</v>
      </c>
      <c r="D168" s="486">
        <v>10.29</v>
      </c>
      <c r="E168" s="418">
        <v>89.28</v>
      </c>
      <c r="F168" s="416">
        <f t="shared" si="54"/>
        <v>0.93163132842925145</v>
      </c>
      <c r="G168" s="51">
        <v>46.22</v>
      </c>
      <c r="H168" s="12">
        <f t="shared" si="55"/>
        <v>0.21759747102212845</v>
      </c>
      <c r="I168" s="51">
        <v>37.96</v>
      </c>
      <c r="J168" s="12">
        <f t="shared" si="55"/>
        <v>0.21433141394753696</v>
      </c>
      <c r="K168" s="51">
        <v>31.259999999999998</v>
      </c>
      <c r="L168" s="239"/>
      <c r="M168" s="238"/>
    </row>
    <row r="169" spans="1:19">
      <c r="A169" s="17" t="s">
        <v>112</v>
      </c>
      <c r="B169" s="51">
        <v>6.48</v>
      </c>
      <c r="C169" s="239">
        <f t="shared" si="53"/>
        <v>0.22960151802656559</v>
      </c>
      <c r="D169" s="486">
        <v>5.27</v>
      </c>
      <c r="E169" s="418">
        <v>26.899999999999995</v>
      </c>
      <c r="F169" s="416">
        <f t="shared" si="54"/>
        <v>-0.23601249644987232</v>
      </c>
      <c r="G169" s="51">
        <v>35.21</v>
      </c>
      <c r="H169" s="12">
        <f t="shared" si="55"/>
        <v>-0.10452695829094605</v>
      </c>
      <c r="I169" s="51">
        <v>39.32</v>
      </c>
      <c r="J169" s="12">
        <f t="shared" si="55"/>
        <v>0.98887202832574572</v>
      </c>
      <c r="K169" s="51">
        <v>19.770000000000003</v>
      </c>
      <c r="L169" s="239"/>
      <c r="M169" s="240"/>
    </row>
    <row r="170" spans="1:19">
      <c r="A170" s="17" t="s">
        <v>113</v>
      </c>
      <c r="B170" s="51">
        <v>60.78</v>
      </c>
      <c r="C170" s="239">
        <f t="shared" si="53"/>
        <v>-0.13921540858235371</v>
      </c>
      <c r="D170" s="486">
        <v>70.61</v>
      </c>
      <c r="E170" s="418">
        <v>378.34</v>
      </c>
      <c r="F170" s="416">
        <f t="shared" si="54"/>
        <v>0.10396545183974792</v>
      </c>
      <c r="G170" s="51">
        <v>342.71</v>
      </c>
      <c r="H170" s="12">
        <f t="shared" si="55"/>
        <v>-4.4444444444444398E-2</v>
      </c>
      <c r="I170" s="51">
        <v>358.65</v>
      </c>
      <c r="J170" s="12">
        <f t="shared" si="55"/>
        <v>-7.138418517943157E-2</v>
      </c>
      <c r="K170" s="51">
        <v>386.22</v>
      </c>
      <c r="L170" s="239"/>
    </row>
    <row r="171" spans="1:19">
      <c r="A171" s="11" t="s">
        <v>114</v>
      </c>
      <c r="B171" s="25">
        <v>60.44</v>
      </c>
      <c r="C171" s="239">
        <f t="shared" si="53"/>
        <v>0.13395872420262656</v>
      </c>
      <c r="D171" s="326">
        <v>53.3</v>
      </c>
      <c r="E171" s="417">
        <v>308.93</v>
      </c>
      <c r="F171" s="416">
        <f t="shared" si="54"/>
        <v>2.4066032419531203E-2</v>
      </c>
      <c r="G171" s="25">
        <v>301.67</v>
      </c>
      <c r="H171" s="12">
        <f t="shared" si="55"/>
        <v>-6.9120868948066683E-2</v>
      </c>
      <c r="I171" s="25">
        <v>324.07</v>
      </c>
      <c r="J171" s="12">
        <f t="shared" si="55"/>
        <v>-0.18913576540059052</v>
      </c>
      <c r="K171" s="25">
        <v>399.66</v>
      </c>
      <c r="L171" s="239"/>
    </row>
    <row r="172" spans="1:19">
      <c r="A172" s="11" t="s">
        <v>115</v>
      </c>
      <c r="B172" s="51">
        <v>47.05</v>
      </c>
      <c r="C172" s="239">
        <f t="shared" si="53"/>
        <v>0.23490813648293951</v>
      </c>
      <c r="D172" s="486">
        <v>38.1</v>
      </c>
      <c r="E172" s="418">
        <v>179.07</v>
      </c>
      <c r="F172" s="416">
        <f t="shared" si="54"/>
        <v>-0.25294117647058822</v>
      </c>
      <c r="G172" s="51">
        <v>239.7</v>
      </c>
      <c r="H172" s="12">
        <f t="shared" si="55"/>
        <v>-0.11491027250572339</v>
      </c>
      <c r="I172" s="51">
        <v>270.82</v>
      </c>
      <c r="J172" s="12">
        <f t="shared" si="55"/>
        <v>-0.14085400672546156</v>
      </c>
      <c r="K172" s="51">
        <v>315.21999999999997</v>
      </c>
      <c r="L172" s="239"/>
      <c r="M172" s="241"/>
    </row>
    <row r="173" spans="1:19" s="3" customFormat="1">
      <c r="A173" s="11" t="s">
        <v>116</v>
      </c>
      <c r="B173" s="51">
        <v>11.29</v>
      </c>
      <c r="C173" s="239">
        <f t="shared" si="53"/>
        <v>-0.28904282115869029</v>
      </c>
      <c r="D173" s="486">
        <v>15.88</v>
      </c>
      <c r="E173" s="418">
        <v>81.610000000000014</v>
      </c>
      <c r="F173" s="416">
        <f t="shared" si="54"/>
        <v>-0.5654419595314164</v>
      </c>
      <c r="G173" s="51">
        <v>187.8</v>
      </c>
      <c r="H173" s="12">
        <f t="shared" si="55"/>
        <v>4.8576214405360307E-2</v>
      </c>
      <c r="I173" s="51">
        <v>179.1</v>
      </c>
      <c r="J173" s="12">
        <f t="shared" si="55"/>
        <v>6.4044676806083611E-2</v>
      </c>
      <c r="K173" s="51">
        <v>168.32</v>
      </c>
      <c r="L173" s="239"/>
      <c r="M173" s="32"/>
      <c r="N173" s="7"/>
      <c r="O173" s="7"/>
      <c r="P173" s="7"/>
      <c r="Q173" s="7"/>
      <c r="R173" s="7"/>
      <c r="S173" s="7"/>
    </row>
    <row r="174" spans="1:19">
      <c r="A174" s="11" t="s">
        <v>117</v>
      </c>
      <c r="B174" s="51">
        <v>43.97</v>
      </c>
      <c r="C174" s="239">
        <f t="shared" si="53"/>
        <v>-0.25713803007264735</v>
      </c>
      <c r="D174" s="486">
        <v>59.19</v>
      </c>
      <c r="E174" s="418">
        <v>234.39000000000001</v>
      </c>
      <c r="F174" s="416">
        <f t="shared" si="54"/>
        <v>6.8907333090113099E-2</v>
      </c>
      <c r="G174" s="51">
        <v>219.28</v>
      </c>
      <c r="H174" s="12">
        <f t="shared" si="55"/>
        <v>0.11445415734905473</v>
      </c>
      <c r="I174" s="51">
        <v>196.76</v>
      </c>
      <c r="J174" s="12">
        <f t="shared" si="55"/>
        <v>0.29806043013590178</v>
      </c>
      <c r="K174" s="51">
        <v>151.58000000000001</v>
      </c>
      <c r="L174" s="239"/>
      <c r="M174" s="32"/>
    </row>
    <row r="175" spans="1:19">
      <c r="A175" s="11" t="s">
        <v>118</v>
      </c>
      <c r="B175" s="51">
        <v>47.24</v>
      </c>
      <c r="C175" s="239">
        <f t="shared" si="53"/>
        <v>0.8218279984573853</v>
      </c>
      <c r="D175" s="486">
        <v>25.93</v>
      </c>
      <c r="E175" s="418">
        <v>150.47</v>
      </c>
      <c r="F175" s="416">
        <f t="shared" si="54"/>
        <v>-0.1014034040011943</v>
      </c>
      <c r="G175" s="51">
        <v>167.45</v>
      </c>
      <c r="H175" s="12">
        <f t="shared" si="55"/>
        <v>-1.5057937768366614E-2</v>
      </c>
      <c r="I175" s="51">
        <v>170.01</v>
      </c>
      <c r="J175" s="12">
        <f t="shared" si="55"/>
        <v>0.36302413212539064</v>
      </c>
      <c r="K175" s="51">
        <v>124.73</v>
      </c>
      <c r="L175" s="239"/>
      <c r="M175" s="32"/>
    </row>
    <row r="176" spans="1:19">
      <c r="A176" s="11" t="s">
        <v>119</v>
      </c>
      <c r="B176" s="51">
        <v>56.58</v>
      </c>
      <c r="C176" s="239">
        <f t="shared" si="53"/>
        <v>-0.12833153597288549</v>
      </c>
      <c r="D176" s="486">
        <v>64.91</v>
      </c>
      <c r="E176" s="418">
        <v>266.64999999999998</v>
      </c>
      <c r="F176" s="416">
        <f t="shared" si="54"/>
        <v>-0.1521193042704061</v>
      </c>
      <c r="G176" s="51">
        <v>314.49</v>
      </c>
      <c r="H176" s="12">
        <f t="shared" si="55"/>
        <v>0.15778816772815962</v>
      </c>
      <c r="I176" s="51">
        <v>271.63</v>
      </c>
      <c r="J176" s="12">
        <f t="shared" si="55"/>
        <v>-0.15940459243671468</v>
      </c>
      <c r="K176" s="51">
        <v>323.14</v>
      </c>
      <c r="L176" s="239"/>
      <c r="M176" s="32"/>
    </row>
    <row r="177" spans="1:19">
      <c r="A177" s="11" t="s">
        <v>120</v>
      </c>
      <c r="B177" s="51">
        <v>91.82</v>
      </c>
      <c r="C177" s="239">
        <f t="shared" si="53"/>
        <v>0.60580622595313027</v>
      </c>
      <c r="D177" s="486">
        <v>57.18</v>
      </c>
      <c r="E177" s="418">
        <v>348.35</v>
      </c>
      <c r="F177" s="416">
        <f t="shared" si="54"/>
        <v>0.12396347562352794</v>
      </c>
      <c r="G177" s="51">
        <v>309.93</v>
      </c>
      <c r="H177" s="12">
        <f t="shared" si="55"/>
        <v>0.21655675930287344</v>
      </c>
      <c r="I177" s="51">
        <v>254.76</v>
      </c>
      <c r="J177" s="12">
        <f t="shared" si="55"/>
        <v>-2.9818347994973071E-2</v>
      </c>
      <c r="K177" s="51">
        <v>262.58999999999997</v>
      </c>
      <c r="L177" s="239"/>
      <c r="M177" s="32"/>
    </row>
    <row r="178" spans="1:19">
      <c r="A178" s="11" t="s">
        <v>121</v>
      </c>
      <c r="B178" s="52">
        <v>25.59</v>
      </c>
      <c r="C178" s="239">
        <f t="shared" si="53"/>
        <v>0.17709291628334878</v>
      </c>
      <c r="D178" s="487">
        <v>21.74</v>
      </c>
      <c r="E178" s="419">
        <v>78.02</v>
      </c>
      <c r="F178" s="416">
        <f t="shared" si="54"/>
        <v>-0.35183185179031329</v>
      </c>
      <c r="G178" s="52">
        <v>120.37</v>
      </c>
      <c r="H178" s="12">
        <f t="shared" si="55"/>
        <v>-0.23816455696202532</v>
      </c>
      <c r="I178" s="52">
        <v>158</v>
      </c>
      <c r="J178" s="12">
        <f t="shared" si="55"/>
        <v>-4.1552926903245302E-2</v>
      </c>
      <c r="K178" s="52">
        <v>164.85</v>
      </c>
      <c r="L178" s="239"/>
      <c r="M178" s="39"/>
    </row>
    <row r="179" spans="1:19">
      <c r="A179" s="11" t="s">
        <v>122</v>
      </c>
      <c r="B179" s="52">
        <v>23.81</v>
      </c>
      <c r="C179" s="239">
        <f t="shared" si="53"/>
        <v>5.1214128035319995E-2</v>
      </c>
      <c r="D179" s="487">
        <v>22.65</v>
      </c>
      <c r="E179" s="419">
        <v>131.09</v>
      </c>
      <c r="F179" s="416">
        <f t="shared" si="54"/>
        <v>0.42799564270152524</v>
      </c>
      <c r="G179" s="52">
        <v>91.8</v>
      </c>
      <c r="H179" s="12">
        <f t="shared" si="55"/>
        <v>5.6265101829478859E-2</v>
      </c>
      <c r="I179" s="52">
        <v>86.91</v>
      </c>
      <c r="J179" s="12">
        <f t="shared" si="55"/>
        <v>-0.15719550038789765</v>
      </c>
      <c r="K179" s="52">
        <v>103.12</v>
      </c>
      <c r="L179" s="239"/>
      <c r="M179" s="39"/>
    </row>
    <row r="180" spans="1:19">
      <c r="A180" s="242" t="s">
        <v>102</v>
      </c>
      <c r="B180" s="53">
        <f>B158</f>
        <v>1159.1500000000001</v>
      </c>
      <c r="C180" s="239">
        <f t="shared" si="53"/>
        <v>7.3545483171874704E-2</v>
      </c>
      <c r="D180" s="53">
        <f>D158</f>
        <v>1079.74</v>
      </c>
      <c r="E180" s="352">
        <f>E158</f>
        <v>6269.9499999999989</v>
      </c>
      <c r="F180" s="416">
        <f t="shared" si="54"/>
        <v>2.2122373167989817E-3</v>
      </c>
      <c r="G180" s="263">
        <f>G158</f>
        <v>6256.11</v>
      </c>
      <c r="H180" s="12">
        <f t="shared" ref="H180:J185" si="56">IF((+G180/I180)&lt;0,"n.m.",IF(G180&lt;0,(+G180/I180-1)*-1,(+G180/I180-1)))</f>
        <v>2.8916383922477307E-2</v>
      </c>
      <c r="I180" s="53">
        <f>I158</f>
        <v>6080.29</v>
      </c>
      <c r="J180" s="12">
        <f t="shared" si="56"/>
        <v>5.0352317661142676E-2</v>
      </c>
      <c r="K180" s="53">
        <f>K158</f>
        <v>5788.81</v>
      </c>
      <c r="L180" s="23"/>
      <c r="M180" s="39"/>
    </row>
    <row r="181" spans="1:19">
      <c r="A181" s="242" t="s">
        <v>103</v>
      </c>
      <c r="B181" s="53">
        <f>B159</f>
        <v>371.31</v>
      </c>
      <c r="C181" s="239">
        <f t="shared" si="53"/>
        <v>0.12641062977793971</v>
      </c>
      <c r="D181" s="53">
        <f>D159</f>
        <v>329.64</v>
      </c>
      <c r="E181" s="352">
        <f>E159</f>
        <v>2098.6200000000003</v>
      </c>
      <c r="F181" s="416">
        <f t="shared" si="54"/>
        <v>4.7748854207231295E-2</v>
      </c>
      <c r="G181" s="263">
        <f>G159</f>
        <v>2002.98</v>
      </c>
      <c r="H181" s="12">
        <f t="shared" si="56"/>
        <v>-2.654075884894469E-2</v>
      </c>
      <c r="I181" s="53">
        <f>I159</f>
        <v>2057.59</v>
      </c>
      <c r="J181" s="12">
        <f t="shared" si="56"/>
        <v>3.8400201867272443E-2</v>
      </c>
      <c r="K181" s="53">
        <f>K159</f>
        <v>1981.5</v>
      </c>
      <c r="L181" s="23"/>
      <c r="M181" s="39"/>
    </row>
    <row r="182" spans="1:19" s="3" customFormat="1">
      <c r="A182" s="242" t="s">
        <v>123</v>
      </c>
      <c r="B182" s="25">
        <f>B160+B161+B162+B163+B164+B165+B166+B167+B168+B169</f>
        <v>427.76</v>
      </c>
      <c r="C182" s="239">
        <f t="shared" si="53"/>
        <v>2.3202411137157153E-2</v>
      </c>
      <c r="D182" s="25">
        <f>D160+D161+D162+D163+D164+D165+D166+D167+D168+D169</f>
        <v>418.06000000000006</v>
      </c>
      <c r="E182" s="327">
        <f>E160+E161+E162+E163+E164+E165+E166+E167+E168+E169</f>
        <v>2965.5400000000004</v>
      </c>
      <c r="F182" s="416">
        <f t="shared" si="54"/>
        <v>-0.20611328694916553</v>
      </c>
      <c r="G182" s="28">
        <f>G160+G161+G162+G163+G164+G165+G166+G167+G168+G169</f>
        <v>3735.47</v>
      </c>
      <c r="H182" s="12">
        <f t="shared" si="56"/>
        <v>0.18308043618028691</v>
      </c>
      <c r="I182" s="25">
        <f>I160+I161+I162+I163+I164+I165+I166+I167+I168+I169</f>
        <v>3157.4100000000003</v>
      </c>
      <c r="J182" s="12">
        <f t="shared" si="56"/>
        <v>-7.2258640801802998E-2</v>
      </c>
      <c r="K182" s="25">
        <f>K160+K161+K162+K163+K164+K165+K166+K167+K168+K169</f>
        <v>3403.3300000000004</v>
      </c>
      <c r="L182" s="23"/>
      <c r="M182" s="21"/>
      <c r="N182" s="7"/>
      <c r="O182" s="7"/>
      <c r="P182" s="7"/>
      <c r="Q182" s="7"/>
      <c r="R182" s="7"/>
      <c r="S182" s="7"/>
    </row>
    <row r="183" spans="1:19" s="3" customFormat="1">
      <c r="A183" s="242" t="s">
        <v>124</v>
      </c>
      <c r="B183" s="25">
        <f>B170+B171+B172+B173+B174+B175</f>
        <v>270.77</v>
      </c>
      <c r="C183" s="239">
        <f t="shared" si="53"/>
        <v>2.9504581574844924E-2</v>
      </c>
      <c r="D183" s="25">
        <f>D170+D171+D172+D173+D174+D175</f>
        <v>263.01</v>
      </c>
      <c r="E183" s="327">
        <f>E170+E171+E172+E173+E174+E175</f>
        <v>1332.81</v>
      </c>
      <c r="F183" s="416">
        <f t="shared" si="54"/>
        <v>-8.6246494950672159E-2</v>
      </c>
      <c r="G183" s="28">
        <f>G170+G171+G172+G173+G174+G175</f>
        <v>1458.61</v>
      </c>
      <c r="H183" s="12">
        <f t="shared" si="56"/>
        <v>-2.7210702876464765E-2</v>
      </c>
      <c r="I183" s="25">
        <f>I170+I171+I172+I173+I174+I175</f>
        <v>1499.4099999999999</v>
      </c>
      <c r="J183" s="12">
        <f t="shared" si="56"/>
        <v>-2.9966423631552885E-2</v>
      </c>
      <c r="K183" s="25">
        <f>K170+K171+K172+K173+K174+K175</f>
        <v>1545.73</v>
      </c>
      <c r="L183" s="23"/>
      <c r="M183" s="21"/>
      <c r="N183" s="7"/>
      <c r="O183" s="7"/>
      <c r="P183" s="7"/>
      <c r="Q183" s="7"/>
      <c r="R183" s="7"/>
      <c r="S183" s="7"/>
    </row>
    <row r="184" spans="1:19">
      <c r="A184" s="242" t="s">
        <v>125</v>
      </c>
      <c r="B184" s="25">
        <f>B176+B177+B178+B179</f>
        <v>197.79999999999998</v>
      </c>
      <c r="C184" s="239">
        <f t="shared" si="53"/>
        <v>0.18813070639115792</v>
      </c>
      <c r="D184" s="25">
        <f>D176+D177+D178+D179</f>
        <v>166.48000000000002</v>
      </c>
      <c r="E184" s="327">
        <f>E176+E177+E178+E179</f>
        <v>824.11</v>
      </c>
      <c r="F184" s="416">
        <f t="shared" si="54"/>
        <v>-1.4917701622060964E-2</v>
      </c>
      <c r="G184" s="28">
        <f>G176+G177+G178+G179</f>
        <v>836.59</v>
      </c>
      <c r="H184" s="12">
        <f t="shared" si="56"/>
        <v>8.4649293400752113E-2</v>
      </c>
      <c r="I184" s="25">
        <f>I176+I177+I178+I179</f>
        <v>771.3</v>
      </c>
      <c r="J184" s="12">
        <f t="shared" si="56"/>
        <v>-9.6521026121588527E-2</v>
      </c>
      <c r="K184" s="25">
        <f>K176+K177+K178+K179</f>
        <v>853.7</v>
      </c>
      <c r="L184" s="23"/>
      <c r="M184" s="21"/>
    </row>
    <row r="185" spans="1:19" s="3" customFormat="1">
      <c r="A185" s="3" t="s">
        <v>129</v>
      </c>
      <c r="B185" s="10">
        <f>SUM(B180:B184)</f>
        <v>2426.79</v>
      </c>
      <c r="C185" s="258">
        <f t="shared" si="53"/>
        <v>7.5261527827624297E-2</v>
      </c>
      <c r="D185" s="10">
        <f>SUM(D180:D184)</f>
        <v>2256.9299999999998</v>
      </c>
      <c r="E185" s="420">
        <f>SUM(E180:E184)</f>
        <v>13491.03</v>
      </c>
      <c r="F185" s="415">
        <f t="shared" si="54"/>
        <v>-5.5895270459405899E-2</v>
      </c>
      <c r="G185" s="264">
        <f>SUM(G180:G184)</f>
        <v>14289.76</v>
      </c>
      <c r="H185" s="4">
        <f t="shared" si="56"/>
        <v>5.3351024620374554E-2</v>
      </c>
      <c r="I185" s="10">
        <f>SUM(I180:I184)</f>
        <v>13566</v>
      </c>
      <c r="J185" s="4">
        <f t="shared" si="56"/>
        <v>-5.208843688274678E-4</v>
      </c>
      <c r="K185" s="10">
        <f>SUM(K180:K184)</f>
        <v>13573.070000000002</v>
      </c>
      <c r="L185" s="6">
        <f>(K185-M185)/M185</f>
        <v>-3.3436115819007919E-2</v>
      </c>
      <c r="M185" s="10">
        <v>14042.600000000002</v>
      </c>
      <c r="N185" s="7"/>
      <c r="O185" s="7"/>
      <c r="P185" s="7"/>
      <c r="Q185" s="7"/>
      <c r="R185" s="7"/>
      <c r="S185" s="7"/>
    </row>
    <row r="186" spans="1:19">
      <c r="C186" s="239"/>
      <c r="H186" s="13"/>
      <c r="J186" s="13"/>
      <c r="L186" s="13"/>
    </row>
    <row r="187" spans="1:19">
      <c r="A187" s="10" t="s">
        <v>4</v>
      </c>
      <c r="B187" s="5"/>
      <c r="C187" s="239"/>
      <c r="D187" s="5"/>
      <c r="E187" s="5"/>
      <c r="F187" s="5"/>
      <c r="G187" s="5"/>
      <c r="H187" s="13"/>
      <c r="I187" s="5"/>
      <c r="J187" s="13"/>
      <c r="K187" s="5"/>
      <c r="L187" s="13"/>
      <c r="M187" s="5"/>
    </row>
    <row r="188" spans="1:19" s="3" customFormat="1">
      <c r="A188" s="11" t="s">
        <v>102</v>
      </c>
      <c r="B188" s="51">
        <v>6934.86</v>
      </c>
      <c r="C188" s="239">
        <f t="shared" si="53"/>
        <v>0.27484902798841859</v>
      </c>
      <c r="D188" s="486">
        <v>5439.75</v>
      </c>
      <c r="E188" s="422">
        <v>6492.79</v>
      </c>
      <c r="F188" s="428">
        <f t="shared" ref="F188:F215" si="57">IF((+E188/G188)&lt;0,"n.m.",IF(E188&lt;0,(+E188/G188-1)*-1,(+E188/G188-1)))</f>
        <v>0.33153752132825831</v>
      </c>
      <c r="G188" s="51">
        <v>4876.16</v>
      </c>
      <c r="H188" s="239">
        <f t="shared" ref="H188:J215" si="58">IF((+G188/I188)&lt;0,"n.m.",IF(G188&lt;0,(+G188/I188-1)*-1,(+G188/I188-1)))</f>
        <v>-1.2519289264031008E-2</v>
      </c>
      <c r="I188" s="51">
        <v>4937.9799999999996</v>
      </c>
      <c r="J188" s="12">
        <f t="shared" si="58"/>
        <v>-2.2642794089122509E-2</v>
      </c>
      <c r="K188" s="51">
        <v>5052.38</v>
      </c>
      <c r="L188" s="13"/>
      <c r="M188" s="32"/>
      <c r="N188" s="7"/>
      <c r="O188" s="7"/>
      <c r="P188" s="7"/>
      <c r="Q188" s="7"/>
      <c r="R188" s="7"/>
      <c r="S188" s="7"/>
    </row>
    <row r="189" spans="1:19" s="3" customFormat="1">
      <c r="A189" s="11" t="s">
        <v>103</v>
      </c>
      <c r="B189" s="51">
        <v>2076.12</v>
      </c>
      <c r="C189" s="239">
        <f t="shared" si="53"/>
        <v>0.17110978237570373</v>
      </c>
      <c r="D189" s="486">
        <v>1772.78</v>
      </c>
      <c r="E189" s="422">
        <v>1856.37</v>
      </c>
      <c r="F189" s="428">
        <f t="shared" si="57"/>
        <v>7.113924342788569E-2</v>
      </c>
      <c r="G189" s="51">
        <v>1733.08</v>
      </c>
      <c r="H189" s="239">
        <f t="shared" si="58"/>
        <v>0.12413569436336513</v>
      </c>
      <c r="I189" s="51">
        <v>1541.7</v>
      </c>
      <c r="J189" s="12">
        <f t="shared" si="58"/>
        <v>2.5543803632009698E-2</v>
      </c>
      <c r="K189" s="51">
        <v>1503.3</v>
      </c>
      <c r="L189" s="13"/>
      <c r="M189" s="240"/>
      <c r="N189" s="7"/>
      <c r="O189" s="7"/>
      <c r="P189" s="7"/>
      <c r="Q189" s="7"/>
      <c r="R189" s="7"/>
      <c r="S189" s="7"/>
    </row>
    <row r="190" spans="1:19" s="3" customFormat="1">
      <c r="A190" s="17" t="s">
        <v>104</v>
      </c>
      <c r="B190" s="51">
        <v>1083.1199999999999</v>
      </c>
      <c r="C190" s="239">
        <f t="shared" si="53"/>
        <v>-4.4892992248882324E-2</v>
      </c>
      <c r="D190" s="486">
        <v>1134.03</v>
      </c>
      <c r="E190" s="422">
        <v>872.87</v>
      </c>
      <c r="F190" s="428">
        <f t="shared" si="57"/>
        <v>2.8054884871326902E-2</v>
      </c>
      <c r="G190" s="51">
        <v>849.05</v>
      </c>
      <c r="H190" s="239">
        <f t="shared" si="58"/>
        <v>4.6502271866717404E-3</v>
      </c>
      <c r="I190" s="51">
        <v>845.12</v>
      </c>
      <c r="J190" s="12">
        <f t="shared" si="58"/>
        <v>0.39783985841644776</v>
      </c>
      <c r="K190" s="51">
        <v>604.58999999999992</v>
      </c>
      <c r="L190" s="13"/>
      <c r="M190" s="32"/>
      <c r="N190" s="7"/>
      <c r="O190" s="7"/>
      <c r="P190" s="7"/>
      <c r="Q190" s="7"/>
      <c r="R190" s="7"/>
      <c r="S190" s="7"/>
    </row>
    <row r="191" spans="1:19" s="3" customFormat="1">
      <c r="A191" s="17" t="s">
        <v>105</v>
      </c>
      <c r="B191" s="51">
        <v>332.74</v>
      </c>
      <c r="C191" s="239">
        <f t="shared" si="53"/>
        <v>0.11169022084126823</v>
      </c>
      <c r="D191" s="486">
        <v>299.31</v>
      </c>
      <c r="E191" s="422">
        <v>287.02999999999997</v>
      </c>
      <c r="F191" s="428">
        <f t="shared" si="57"/>
        <v>-0.11248879131752276</v>
      </c>
      <c r="G191" s="51">
        <v>323.41000000000003</v>
      </c>
      <c r="H191" s="239">
        <f t="shared" si="58"/>
        <v>-6.9618250338022492E-2</v>
      </c>
      <c r="I191" s="51">
        <v>347.61</v>
      </c>
      <c r="J191" s="12">
        <f t="shared" si="58"/>
        <v>-4.5787696615333995E-2</v>
      </c>
      <c r="K191" s="51">
        <v>364.29</v>
      </c>
      <c r="L191" s="13"/>
      <c r="M191" s="32"/>
      <c r="N191" s="7"/>
      <c r="O191" s="7"/>
      <c r="P191" s="7"/>
      <c r="Q191" s="7"/>
      <c r="R191" s="7"/>
      <c r="S191" s="7"/>
    </row>
    <row r="192" spans="1:19">
      <c r="A192" s="17" t="s">
        <v>106</v>
      </c>
      <c r="B192" s="51">
        <v>521.12</v>
      </c>
      <c r="C192" s="239">
        <f t="shared" si="53"/>
        <v>1.6272750189059746</v>
      </c>
      <c r="D192" s="486">
        <v>198.35</v>
      </c>
      <c r="E192" s="422">
        <v>268.16000000000003</v>
      </c>
      <c r="F192" s="428">
        <f t="shared" si="57"/>
        <v>0.96195493122622189</v>
      </c>
      <c r="G192" s="51">
        <v>136.68</v>
      </c>
      <c r="H192" s="239">
        <f t="shared" si="58"/>
        <v>-0.7308972061979484</v>
      </c>
      <c r="I192" s="51">
        <v>507.91</v>
      </c>
      <c r="J192" s="12">
        <f t="shared" si="58"/>
        <v>-0.11357964362379791</v>
      </c>
      <c r="K192" s="51">
        <v>572.99</v>
      </c>
      <c r="L192" s="13"/>
      <c r="M192" s="32"/>
    </row>
    <row r="193" spans="1:19">
      <c r="A193" s="17" t="s">
        <v>154</v>
      </c>
      <c r="B193" s="51">
        <v>243.25</v>
      </c>
      <c r="C193" s="239">
        <f t="shared" si="53"/>
        <v>-0.36398577629033102</v>
      </c>
      <c r="D193" s="486">
        <v>382.46</v>
      </c>
      <c r="E193" s="422">
        <v>241.21</v>
      </c>
      <c r="F193" s="428">
        <f t="shared" si="57"/>
        <v>-0.38121135938021089</v>
      </c>
      <c r="G193" s="51">
        <v>389.81</v>
      </c>
      <c r="H193" s="239">
        <f t="shared" si="58"/>
        <v>-0.46118652033284502</v>
      </c>
      <c r="I193" s="51">
        <v>723.46</v>
      </c>
      <c r="J193" s="12">
        <f t="shared" si="58"/>
        <v>1.2794757073539609</v>
      </c>
      <c r="K193" s="51">
        <v>317.38</v>
      </c>
      <c r="L193" s="13"/>
      <c r="M193" s="32"/>
    </row>
    <row r="194" spans="1:19">
      <c r="A194" s="17" t="s">
        <v>107</v>
      </c>
      <c r="B194" s="51">
        <v>562.48</v>
      </c>
      <c r="C194" s="239">
        <f t="shared" si="53"/>
        <v>0.64438987312167462</v>
      </c>
      <c r="D194" s="486">
        <v>342.06</v>
      </c>
      <c r="E194" s="422">
        <v>515.04</v>
      </c>
      <c r="F194" s="428">
        <f t="shared" si="57"/>
        <v>0.4500408232213744</v>
      </c>
      <c r="G194" s="51">
        <v>355.19</v>
      </c>
      <c r="H194" s="239">
        <f t="shared" si="58"/>
        <v>-0.35805168986083491</v>
      </c>
      <c r="I194" s="51">
        <v>553.29999999999995</v>
      </c>
      <c r="J194" s="12">
        <f t="shared" si="58"/>
        <v>0.24292389253302171</v>
      </c>
      <c r="K194" s="51">
        <v>445.16</v>
      </c>
      <c r="L194" s="13"/>
      <c r="M194" s="32"/>
    </row>
    <row r="195" spans="1:19">
      <c r="A195" s="17" t="s">
        <v>108</v>
      </c>
      <c r="B195" s="51">
        <v>284.39999999999998</v>
      </c>
      <c r="C195" s="239">
        <f t="shared" si="53"/>
        <v>-0.27474881419901054</v>
      </c>
      <c r="D195" s="486">
        <v>392.14</v>
      </c>
      <c r="E195" s="422">
        <v>271.38</v>
      </c>
      <c r="F195" s="428">
        <f t="shared" si="57"/>
        <v>-0.30939535830618892</v>
      </c>
      <c r="G195" s="51">
        <v>392.96</v>
      </c>
      <c r="H195" s="239">
        <f t="shared" si="58"/>
        <v>-0.21127212877845136</v>
      </c>
      <c r="I195" s="51">
        <v>498.22</v>
      </c>
      <c r="J195" s="12">
        <f t="shared" si="58"/>
        <v>0.61591852620653875</v>
      </c>
      <c r="K195" s="51">
        <v>308.32</v>
      </c>
      <c r="L195" s="13"/>
      <c r="M195" s="32"/>
    </row>
    <row r="196" spans="1:19">
      <c r="A196" s="17" t="s">
        <v>109</v>
      </c>
      <c r="B196" s="51">
        <v>97.91</v>
      </c>
      <c r="C196" s="239">
        <f t="shared" si="53"/>
        <v>0.83317730762029596</v>
      </c>
      <c r="D196" s="486">
        <v>53.41</v>
      </c>
      <c r="E196" s="422">
        <v>105.97</v>
      </c>
      <c r="F196" s="428">
        <f t="shared" si="57"/>
        <v>0.934465133260314</v>
      </c>
      <c r="G196" s="51">
        <v>54.78</v>
      </c>
      <c r="H196" s="239">
        <f t="shared" si="58"/>
        <v>4.0851225536766123E-2</v>
      </c>
      <c r="I196" s="51">
        <v>52.63</v>
      </c>
      <c r="J196" s="12">
        <f t="shared" si="58"/>
        <v>-0.31265508684863519</v>
      </c>
      <c r="K196" s="51">
        <v>76.569999999999993</v>
      </c>
      <c r="L196" s="13"/>
      <c r="M196" s="32"/>
    </row>
    <row r="197" spans="1:19">
      <c r="A197" s="17" t="s">
        <v>110</v>
      </c>
      <c r="B197" s="51">
        <v>48.52</v>
      </c>
      <c r="C197" s="239">
        <f t="shared" si="53"/>
        <v>-0.15234102026554852</v>
      </c>
      <c r="D197" s="486">
        <v>57.24</v>
      </c>
      <c r="E197" s="422">
        <v>50.68</v>
      </c>
      <c r="F197" s="428">
        <f t="shared" si="57"/>
        <v>-0.10633045318286016</v>
      </c>
      <c r="G197" s="51">
        <v>56.71</v>
      </c>
      <c r="H197" s="239">
        <f t="shared" si="58"/>
        <v>-0.49765258215962438</v>
      </c>
      <c r="I197" s="51">
        <v>112.89</v>
      </c>
      <c r="J197" s="12">
        <f t="shared" si="58"/>
        <v>-0.24950139609094546</v>
      </c>
      <c r="K197" s="51">
        <v>150.42000000000002</v>
      </c>
      <c r="L197" s="13"/>
      <c r="M197" s="32"/>
    </row>
    <row r="198" spans="1:19">
      <c r="A198" s="17" t="s">
        <v>111</v>
      </c>
      <c r="B198" s="51">
        <v>73.489999999999995</v>
      </c>
      <c r="C198" s="239">
        <f t="shared" si="53"/>
        <v>-0.43703079515857213</v>
      </c>
      <c r="D198" s="486">
        <v>130.54</v>
      </c>
      <c r="E198" s="422">
        <v>83.07</v>
      </c>
      <c r="F198" s="428">
        <f t="shared" si="57"/>
        <v>-0.11354177782520547</v>
      </c>
      <c r="G198" s="51">
        <v>93.71</v>
      </c>
      <c r="H198" s="239">
        <f t="shared" si="58"/>
        <v>2.909470171047142</v>
      </c>
      <c r="I198" s="51">
        <v>23.97</v>
      </c>
      <c r="J198" s="12">
        <f t="shared" si="58"/>
        <v>0.11957029425502097</v>
      </c>
      <c r="K198" s="51">
        <v>21.41</v>
      </c>
      <c r="L198" s="13"/>
      <c r="M198" s="32"/>
    </row>
    <row r="199" spans="1:19">
      <c r="A199" s="17" t="s">
        <v>112</v>
      </c>
      <c r="B199" s="51">
        <v>57.89</v>
      </c>
      <c r="C199" s="239">
        <f t="shared" si="53"/>
        <v>0.38858239385943882</v>
      </c>
      <c r="D199" s="486">
        <v>41.69</v>
      </c>
      <c r="E199" s="422">
        <v>43.57</v>
      </c>
      <c r="F199" s="428">
        <f t="shared" si="57"/>
        <v>0.62756817332835269</v>
      </c>
      <c r="G199" s="51">
        <v>26.77</v>
      </c>
      <c r="H199" s="239">
        <f t="shared" si="58"/>
        <v>0.86550522648083628</v>
      </c>
      <c r="I199" s="51">
        <v>14.35</v>
      </c>
      <c r="J199" s="12">
        <f t="shared" si="58"/>
        <v>-0.58894299627613855</v>
      </c>
      <c r="K199" s="51">
        <v>34.909999999999997</v>
      </c>
      <c r="L199" s="13"/>
      <c r="M199" s="32"/>
    </row>
    <row r="200" spans="1:19">
      <c r="A200" s="17" t="s">
        <v>113</v>
      </c>
      <c r="B200" s="51">
        <v>269.60000000000002</v>
      </c>
      <c r="C200" s="239">
        <f t="shared" si="53"/>
        <v>-0.27556092973263457</v>
      </c>
      <c r="D200" s="486">
        <v>372.15</v>
      </c>
      <c r="E200" s="422">
        <v>247.05</v>
      </c>
      <c r="F200" s="428">
        <f t="shared" si="57"/>
        <v>-0.19632400780741699</v>
      </c>
      <c r="G200" s="51">
        <v>307.39999999999998</v>
      </c>
      <c r="H200" s="239">
        <f t="shared" si="58"/>
        <v>0.81732190363582591</v>
      </c>
      <c r="I200" s="51">
        <v>169.15</v>
      </c>
      <c r="J200" s="12">
        <f t="shared" si="58"/>
        <v>-0.22140391254315306</v>
      </c>
      <c r="K200" s="51">
        <v>217.25</v>
      </c>
      <c r="L200" s="13"/>
    </row>
    <row r="201" spans="1:19">
      <c r="A201" s="11" t="s">
        <v>114</v>
      </c>
      <c r="B201" s="25">
        <v>416.87</v>
      </c>
      <c r="C201" s="239">
        <f t="shared" si="53"/>
        <v>6.9226428644711291E-2</v>
      </c>
      <c r="D201" s="326">
        <v>389.88</v>
      </c>
      <c r="E201" s="421">
        <v>411.67</v>
      </c>
      <c r="F201" s="428">
        <f t="shared" si="57"/>
        <v>0.18496876888978431</v>
      </c>
      <c r="G201" s="25">
        <v>347.41</v>
      </c>
      <c r="H201" s="239">
        <f t="shared" si="58"/>
        <v>-0.12761469502548772</v>
      </c>
      <c r="I201" s="25">
        <v>398.23</v>
      </c>
      <c r="J201" s="12">
        <f t="shared" si="58"/>
        <v>0.13491407563623925</v>
      </c>
      <c r="K201" s="25">
        <v>350.89000000000004</v>
      </c>
      <c r="L201" s="13"/>
    </row>
    <row r="202" spans="1:19">
      <c r="A202" s="11" t="s">
        <v>115</v>
      </c>
      <c r="B202" s="51">
        <v>382.24</v>
      </c>
      <c r="C202" s="239">
        <f t="shared" si="53"/>
        <v>0.2205121655278115</v>
      </c>
      <c r="D202" s="486">
        <v>313.18</v>
      </c>
      <c r="E202" s="422">
        <v>376.21</v>
      </c>
      <c r="F202" s="428">
        <f t="shared" si="57"/>
        <v>0.35507690091128485</v>
      </c>
      <c r="G202" s="51">
        <v>277.63</v>
      </c>
      <c r="H202" s="239">
        <f t="shared" si="58"/>
        <v>-0.10747122741593262</v>
      </c>
      <c r="I202" s="51">
        <v>311.06</v>
      </c>
      <c r="J202" s="12">
        <f t="shared" si="58"/>
        <v>0.15682993045483284</v>
      </c>
      <c r="K202" s="51">
        <v>268.89</v>
      </c>
      <c r="L202" s="13"/>
      <c r="M202" s="32"/>
    </row>
    <row r="203" spans="1:19" s="3" customFormat="1">
      <c r="A203" s="11" t="s">
        <v>116</v>
      </c>
      <c r="B203" s="51">
        <v>631.38</v>
      </c>
      <c r="C203" s="239">
        <f t="shared" si="53"/>
        <v>-0.37127322698213538</v>
      </c>
      <c r="D203" s="486">
        <v>1004.22</v>
      </c>
      <c r="E203" s="422">
        <v>963.25</v>
      </c>
      <c r="F203" s="428">
        <f t="shared" si="57"/>
        <v>-4.7663773159591138E-2</v>
      </c>
      <c r="G203" s="51">
        <v>1011.46</v>
      </c>
      <c r="H203" s="239">
        <f t="shared" si="58"/>
        <v>-0.1823282134195634</v>
      </c>
      <c r="I203" s="51">
        <v>1237</v>
      </c>
      <c r="J203" s="12">
        <f t="shared" si="58"/>
        <v>-1.4907781989615509E-2</v>
      </c>
      <c r="K203" s="51">
        <v>1255.72</v>
      </c>
      <c r="L203" s="13"/>
      <c r="M203" s="32"/>
      <c r="N203" s="7"/>
      <c r="O203" s="7"/>
      <c r="P203" s="7"/>
      <c r="Q203" s="7"/>
      <c r="R203" s="7"/>
      <c r="S203" s="7"/>
    </row>
    <row r="204" spans="1:19">
      <c r="A204" s="11" t="s">
        <v>117</v>
      </c>
      <c r="B204" s="51">
        <v>127.42</v>
      </c>
      <c r="C204" s="239">
        <f t="shared" si="53"/>
        <v>-0.54226389337931535</v>
      </c>
      <c r="D204" s="486">
        <v>278.37</v>
      </c>
      <c r="E204" s="422">
        <v>159.88999999999999</v>
      </c>
      <c r="F204" s="428">
        <f t="shared" si="57"/>
        <v>-0.50335466235944593</v>
      </c>
      <c r="G204" s="51">
        <v>321.94</v>
      </c>
      <c r="H204" s="239">
        <f t="shared" si="58"/>
        <v>-0.29391380633841424</v>
      </c>
      <c r="I204" s="51">
        <v>455.95</v>
      </c>
      <c r="J204" s="12">
        <f t="shared" si="58"/>
        <v>0.61033411033411045</v>
      </c>
      <c r="K204" s="51">
        <v>283.14</v>
      </c>
      <c r="L204" s="13"/>
      <c r="M204" s="32"/>
    </row>
    <row r="205" spans="1:19">
      <c r="A205" s="11" t="s">
        <v>118</v>
      </c>
      <c r="B205" s="51">
        <v>324.97000000000003</v>
      </c>
      <c r="C205" s="239">
        <f t="shared" si="53"/>
        <v>0.24029617190183594</v>
      </c>
      <c r="D205" s="486">
        <v>262.01</v>
      </c>
      <c r="E205" s="422">
        <v>251.6</v>
      </c>
      <c r="F205" s="428">
        <f t="shared" si="57"/>
        <v>-4.8447486857531974E-2</v>
      </c>
      <c r="G205" s="51">
        <v>264.41000000000003</v>
      </c>
      <c r="H205" s="239">
        <f t="shared" si="58"/>
        <v>5.2465498232143748E-3</v>
      </c>
      <c r="I205" s="51">
        <v>263.02999999999997</v>
      </c>
      <c r="J205" s="12">
        <f t="shared" si="58"/>
        <v>0.52675876480148576</v>
      </c>
      <c r="K205" s="51">
        <v>172.28</v>
      </c>
      <c r="L205" s="13"/>
      <c r="M205" s="32"/>
    </row>
    <row r="206" spans="1:19">
      <c r="A206" s="11" t="s">
        <v>119</v>
      </c>
      <c r="B206" s="51">
        <v>364.43</v>
      </c>
      <c r="C206" s="239">
        <f t="shared" si="53"/>
        <v>-5.8003980665339738E-2</v>
      </c>
      <c r="D206" s="486">
        <v>386.87</v>
      </c>
      <c r="E206" s="422">
        <v>403.35</v>
      </c>
      <c r="F206" s="428">
        <f t="shared" si="57"/>
        <v>-0.19444388967665904</v>
      </c>
      <c r="G206" s="51">
        <v>500.71</v>
      </c>
      <c r="H206" s="239">
        <f t="shared" si="58"/>
        <v>-4.6575394634118417E-2</v>
      </c>
      <c r="I206" s="51">
        <v>525.16999999999996</v>
      </c>
      <c r="J206" s="12">
        <f t="shared" si="58"/>
        <v>-0.10181289550196693</v>
      </c>
      <c r="K206" s="51">
        <v>584.70000000000005</v>
      </c>
      <c r="L206" s="13"/>
      <c r="M206" s="32"/>
    </row>
    <row r="207" spans="1:19">
      <c r="A207" s="11" t="s">
        <v>120</v>
      </c>
      <c r="B207" s="51">
        <v>1082.6400000000001</v>
      </c>
      <c r="C207" s="239">
        <f t="shared" si="53"/>
        <v>1.5998126936099708</v>
      </c>
      <c r="D207" s="486">
        <v>416.43</v>
      </c>
      <c r="E207" s="422">
        <v>688.49</v>
      </c>
      <c r="F207" s="428">
        <f t="shared" si="57"/>
        <v>0.50832493537221235</v>
      </c>
      <c r="G207" s="51">
        <v>456.46</v>
      </c>
      <c r="H207" s="239">
        <f t="shared" si="58"/>
        <v>-0.21758656153582445</v>
      </c>
      <c r="I207" s="51">
        <v>583.4</v>
      </c>
      <c r="J207" s="12">
        <f t="shared" si="58"/>
        <v>-8.7981490745372648E-2</v>
      </c>
      <c r="K207" s="51">
        <v>639.67999999999995</v>
      </c>
      <c r="L207" s="36"/>
      <c r="M207" s="32"/>
    </row>
    <row r="208" spans="1:19">
      <c r="A208" s="11" t="s">
        <v>121</v>
      </c>
      <c r="B208" s="52">
        <v>43.28</v>
      </c>
      <c r="C208" s="239">
        <f t="shared" si="53"/>
        <v>-0.36483710008805403</v>
      </c>
      <c r="D208" s="487">
        <v>68.14</v>
      </c>
      <c r="E208" s="423">
        <v>54.82</v>
      </c>
      <c r="F208" s="428">
        <f t="shared" si="57"/>
        <v>-0.40309233449477355</v>
      </c>
      <c r="G208" s="52">
        <v>91.84</v>
      </c>
      <c r="H208" s="239">
        <f t="shared" si="58"/>
        <v>-0.1461509854964671</v>
      </c>
      <c r="I208" s="52">
        <v>107.56</v>
      </c>
      <c r="J208" s="12">
        <f t="shared" si="58"/>
        <v>-0.19545216545740141</v>
      </c>
      <c r="K208" s="52">
        <v>133.69</v>
      </c>
      <c r="L208" s="13"/>
      <c r="M208" s="39"/>
    </row>
    <row r="209" spans="1:19">
      <c r="A209" s="11" t="s">
        <v>122</v>
      </c>
      <c r="B209" s="52">
        <v>154.4</v>
      </c>
      <c r="C209" s="239">
        <f t="shared" si="53"/>
        <v>-0.36095360291378664</v>
      </c>
      <c r="D209" s="487">
        <v>241.61</v>
      </c>
      <c r="E209" s="423">
        <v>171.32</v>
      </c>
      <c r="F209" s="428">
        <f t="shared" si="57"/>
        <v>-0.35837609078311672</v>
      </c>
      <c r="G209" s="52">
        <v>267.01</v>
      </c>
      <c r="H209" s="239">
        <f t="shared" si="58"/>
        <v>0.37811612903225811</v>
      </c>
      <c r="I209" s="52">
        <v>193.75</v>
      </c>
      <c r="J209" s="12">
        <f t="shared" si="58"/>
        <v>0.73424633011099161</v>
      </c>
      <c r="K209" s="52">
        <v>111.72000000000001</v>
      </c>
      <c r="L209" s="13"/>
      <c r="M209" s="39"/>
    </row>
    <row r="210" spans="1:19">
      <c r="A210" s="24" t="s">
        <v>102</v>
      </c>
      <c r="B210" s="53">
        <f>B188</f>
        <v>6934.86</v>
      </c>
      <c r="C210" s="239">
        <f t="shared" si="53"/>
        <v>0.27484902798841859</v>
      </c>
      <c r="D210" s="53">
        <f>D188</f>
        <v>5439.75</v>
      </c>
      <c r="E210" s="331">
        <f>E188</f>
        <v>6492.79</v>
      </c>
      <c r="F210" s="428">
        <f t="shared" si="57"/>
        <v>0.33153752132825831</v>
      </c>
      <c r="G210" s="53">
        <f>G188</f>
        <v>4876.16</v>
      </c>
      <c r="H210" s="239">
        <f t="shared" si="58"/>
        <v>-1.2519289264031008E-2</v>
      </c>
      <c r="I210" s="53">
        <f>I188</f>
        <v>4937.9799999999996</v>
      </c>
      <c r="J210" s="12">
        <f t="shared" si="58"/>
        <v>-2.2642794089122509E-2</v>
      </c>
      <c r="K210" s="53">
        <f>K188</f>
        <v>5052.38</v>
      </c>
      <c r="L210" s="13"/>
      <c r="M210" s="39"/>
    </row>
    <row r="211" spans="1:19">
      <c r="A211" s="24" t="s">
        <v>103</v>
      </c>
      <c r="B211" s="53">
        <f>B189</f>
        <v>2076.12</v>
      </c>
      <c r="C211" s="239">
        <f t="shared" si="53"/>
        <v>0.17110978237570373</v>
      </c>
      <c r="D211" s="53">
        <f>D189</f>
        <v>1772.78</v>
      </c>
      <c r="E211" s="331">
        <f>E189</f>
        <v>1856.37</v>
      </c>
      <c r="F211" s="428">
        <f t="shared" si="57"/>
        <v>7.113924342788569E-2</v>
      </c>
      <c r="G211" s="53">
        <f>G189</f>
        <v>1733.08</v>
      </c>
      <c r="H211" s="239">
        <f t="shared" si="58"/>
        <v>0.12413569436336513</v>
      </c>
      <c r="I211" s="53">
        <f>I189</f>
        <v>1541.7</v>
      </c>
      <c r="J211" s="12">
        <f t="shared" si="58"/>
        <v>2.5543803632009698E-2</v>
      </c>
      <c r="K211" s="53">
        <f>K189</f>
        <v>1503.3</v>
      </c>
      <c r="L211" s="13"/>
      <c r="M211" s="39"/>
    </row>
    <row r="212" spans="1:19" s="3" customFormat="1">
      <c r="A212" s="24" t="s">
        <v>123</v>
      </c>
      <c r="B212" s="25">
        <f>B190+B191+B192+B193+B194+B195+B196+B197+B198+B199</f>
        <v>3304.9199999999996</v>
      </c>
      <c r="C212" s="239">
        <f t="shared" si="53"/>
        <v>9.029008026444707E-2</v>
      </c>
      <c r="D212" s="25">
        <f>D190+D191+D192+D193+D194+D195+D196+D197+D198+D199</f>
        <v>3031.2299999999996</v>
      </c>
      <c r="E212" s="326">
        <f>E190+E191+E192+E193+E194+E195+E196+E197+E198+E199</f>
        <v>2738.9800000000005</v>
      </c>
      <c r="F212" s="428">
        <f t="shared" si="57"/>
        <v>2.2362237642167049E-2</v>
      </c>
      <c r="G212" s="25">
        <f>G190+G191+G192+G193+G194+G195+G196+G197+G198+G199</f>
        <v>2679.07</v>
      </c>
      <c r="H212" s="239">
        <f t="shared" si="58"/>
        <v>-0.27188500486484435</v>
      </c>
      <c r="I212" s="25">
        <f>I190+I191+I192+I193+I194+I195+I196+I197+I198+I199</f>
        <v>3679.4600000000005</v>
      </c>
      <c r="J212" s="12">
        <f t="shared" si="58"/>
        <v>0.27051421941685905</v>
      </c>
      <c r="K212" s="25">
        <f>K190+K191+K192+K193+K194+K195+K196+K197+K198+K199</f>
        <v>2896.04</v>
      </c>
      <c r="L212" s="13"/>
      <c r="M212" s="21"/>
      <c r="N212" s="7"/>
      <c r="O212" s="7"/>
      <c r="P212" s="7"/>
      <c r="Q212" s="7"/>
      <c r="R212" s="7"/>
      <c r="S212" s="7"/>
    </row>
    <row r="213" spans="1:19" s="3" customFormat="1">
      <c r="A213" s="24" t="s">
        <v>124</v>
      </c>
      <c r="B213" s="25">
        <f>B200+B201+B202+B203+B204+B205</f>
        <v>2152.4800000000005</v>
      </c>
      <c r="C213" s="239">
        <f t="shared" si="53"/>
        <v>-0.17838316519136876</v>
      </c>
      <c r="D213" s="25">
        <f>D200+D201+D202+D203+D204+D205</f>
        <v>2619.8100000000004</v>
      </c>
      <c r="E213" s="326">
        <f>E200+E201+E202+E203+E204+E205</f>
        <v>2409.67</v>
      </c>
      <c r="F213" s="428">
        <f t="shared" si="57"/>
        <v>-4.7655370022725019E-2</v>
      </c>
      <c r="G213" s="25">
        <f>G200+G201+G202+G203+G204+G205</f>
        <v>2530.25</v>
      </c>
      <c r="H213" s="239">
        <f t="shared" si="58"/>
        <v>-0.1073129599706466</v>
      </c>
      <c r="I213" s="25">
        <f>I200+I201+I202+I203+I204+I205</f>
        <v>2834.42</v>
      </c>
      <c r="J213" s="12">
        <f t="shared" si="58"/>
        <v>0.11233551921575091</v>
      </c>
      <c r="K213" s="25">
        <f>K200+K201+K202+K203+K204+K205</f>
        <v>2548.17</v>
      </c>
      <c r="L213" s="13"/>
      <c r="M213" s="21"/>
      <c r="N213" s="7"/>
      <c r="O213" s="7"/>
      <c r="P213" s="7"/>
      <c r="Q213" s="7"/>
      <c r="R213" s="7"/>
      <c r="S213" s="7"/>
    </row>
    <row r="214" spans="1:19">
      <c r="A214" s="24" t="s">
        <v>125</v>
      </c>
      <c r="B214" s="25">
        <f>B206+B207+B208+B209</f>
        <v>1644.7500000000002</v>
      </c>
      <c r="C214" s="239">
        <f t="shared" si="53"/>
        <v>0.47769641974754085</v>
      </c>
      <c r="D214" s="25">
        <f>D206+D207+D208+D209</f>
        <v>1113.05</v>
      </c>
      <c r="E214" s="326">
        <f>E206+E207+E208+E209</f>
        <v>1317.98</v>
      </c>
      <c r="F214" s="428">
        <f t="shared" si="57"/>
        <v>1.4893390677952478E-3</v>
      </c>
      <c r="G214" s="25">
        <f>G206+G207+G208+G209</f>
        <v>1316.02</v>
      </c>
      <c r="H214" s="239">
        <f t="shared" si="58"/>
        <v>-6.6573041677305822E-2</v>
      </c>
      <c r="I214" s="245">
        <f>I206+I207+I208+I209</f>
        <v>1409.8799999999999</v>
      </c>
      <c r="J214" s="12">
        <f t="shared" si="58"/>
        <v>-4.0760925030106532E-2</v>
      </c>
      <c r="K214" s="245">
        <f>K206+K207+K208+K209</f>
        <v>1469.7900000000002</v>
      </c>
      <c r="L214" s="13"/>
      <c r="M214" s="21"/>
    </row>
    <row r="215" spans="1:19" s="3" customFormat="1">
      <c r="A215" s="54" t="s">
        <v>130</v>
      </c>
      <c r="B215" s="55">
        <f>SUM(B210:B214)</f>
        <v>16113.130000000001</v>
      </c>
      <c r="C215" s="258">
        <f t="shared" si="53"/>
        <v>0.15286313858429312</v>
      </c>
      <c r="D215" s="55">
        <f>SUM(D210:D214)</f>
        <v>13976.619999999999</v>
      </c>
      <c r="E215" s="424">
        <f>SUM(E210:E214)</f>
        <v>14815.789999999999</v>
      </c>
      <c r="F215" s="429">
        <f t="shared" si="57"/>
        <v>0.1279987635691433</v>
      </c>
      <c r="G215" s="55">
        <f>SUM(G210:G214)</f>
        <v>13134.58</v>
      </c>
      <c r="H215" s="258">
        <f t="shared" si="58"/>
        <v>-8.8094233044328174E-2</v>
      </c>
      <c r="I215" s="55">
        <f>SUM(I210:I214)</f>
        <v>14403.439999999999</v>
      </c>
      <c r="J215" s="248">
        <f t="shared" si="58"/>
        <v>6.9323101959363198E-2</v>
      </c>
      <c r="K215" s="55">
        <f>SUM(K210:K214)</f>
        <v>13469.680000000002</v>
      </c>
      <c r="L215" s="6">
        <f>(K215-M215)/M215</f>
        <v>2.0224712292826012E-2</v>
      </c>
      <c r="M215" s="55">
        <v>13202.66</v>
      </c>
      <c r="N215" s="7"/>
      <c r="O215" s="7"/>
      <c r="P215" s="7"/>
      <c r="Q215" s="7"/>
      <c r="R215" s="7"/>
      <c r="S215" s="7"/>
    </row>
    <row r="216" spans="1:19" s="15" customFormat="1">
      <c r="B216" s="56"/>
      <c r="C216" s="56"/>
      <c r="D216" s="56"/>
      <c r="E216" s="246"/>
      <c r="F216" s="246"/>
      <c r="G216" s="246"/>
      <c r="H216" s="246"/>
      <c r="I216" s="246"/>
      <c r="J216" s="247"/>
      <c r="K216" s="246"/>
      <c r="L216" s="56"/>
      <c r="M216" s="56"/>
    </row>
    <row r="217" spans="1:19" s="15" customFormat="1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</row>
    <row r="218" spans="1:19" s="15" customFormat="1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</row>
    <row r="219" spans="1:19" s="15" customFormat="1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</row>
    <row r="220" spans="1:19" s="15" customFormat="1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</row>
    <row r="221" spans="1:19" s="15" customFormat="1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</row>
    <row r="222" spans="1:19" s="15" customFormat="1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</row>
    <row r="223" spans="1:19" s="15" customFormat="1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</row>
    <row r="224" spans="1:19" s="15" customFormat="1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</row>
    <row r="225" spans="2:13" s="15" customFormat="1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</row>
    <row r="226" spans="2:13" s="15" customFormat="1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</row>
    <row r="227" spans="2:13" s="15" customFormat="1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</row>
    <row r="228" spans="2:13" s="15" customFormat="1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</row>
    <row r="229" spans="2:13" s="15" customFormat="1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</row>
    <row r="230" spans="2:13" s="15" customFormat="1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</row>
    <row r="231" spans="2:13" s="15" customFormat="1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</row>
    <row r="232" spans="2:13" s="15" customFormat="1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</row>
    <row r="233" spans="2:13" s="15" customFormat="1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</row>
    <row r="234" spans="2:13" s="15" customFormat="1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</row>
    <row r="235" spans="2:13" s="15" customFormat="1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</row>
    <row r="236" spans="2:13" s="15" customFormat="1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</row>
    <row r="237" spans="2:13" s="15" customFormat="1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</row>
    <row r="238" spans="2:13" s="15" customFormat="1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</row>
    <row r="239" spans="2:13" s="15" customFormat="1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</row>
    <row r="240" spans="2:13" s="15" customFormat="1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</row>
    <row r="241" spans="2:13" s="15" customFormat="1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</row>
    <row r="242" spans="2:13" s="15" customFormat="1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</row>
    <row r="243" spans="2:13" s="15" customFormat="1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</row>
    <row r="244" spans="2:13" s="15" customFormat="1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</row>
    <row r="245" spans="2:13" s="15" customFormat="1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</row>
    <row r="246" spans="2:13" s="15" customFormat="1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</row>
    <row r="247" spans="2:13" s="15" customFormat="1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</row>
    <row r="248" spans="2:13" s="15" customFormat="1"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</row>
    <row r="249" spans="2:13" s="15" customFormat="1"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</row>
    <row r="250" spans="2:13" s="15" customFormat="1"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</row>
    <row r="251" spans="2:13" s="15" customFormat="1"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</row>
    <row r="252" spans="2:13" s="15" customFormat="1"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</row>
    <row r="253" spans="2:13" s="15" customFormat="1"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</row>
    <row r="254" spans="2:13" s="15" customFormat="1"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</row>
    <row r="255" spans="2:13" s="15" customFormat="1"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</row>
    <row r="256" spans="2:13" s="15" customFormat="1"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</row>
    <row r="257" spans="2:13" s="15" customFormat="1"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</row>
    <row r="258" spans="2:13" s="15" customFormat="1"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</row>
    <row r="259" spans="2:13" s="15" customFormat="1"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</row>
    <row r="260" spans="2:13" s="15" customFormat="1"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</row>
    <row r="261" spans="2:13" s="15" customFormat="1"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</row>
    <row r="262" spans="2:13" s="15" customFormat="1"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</row>
    <row r="263" spans="2:13" s="15" customFormat="1"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</row>
    <row r="264" spans="2:13" s="15" customFormat="1"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</row>
    <row r="265" spans="2:13" s="15" customFormat="1"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</row>
    <row r="266" spans="2:13" s="15" customFormat="1"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</row>
    <row r="267" spans="2:13" s="15" customFormat="1"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</row>
    <row r="268" spans="2:13" s="15" customFormat="1"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</row>
    <row r="269" spans="2:13" s="15" customFormat="1"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</row>
    <row r="270" spans="2:13" s="15" customFormat="1"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</row>
    <row r="271" spans="2:13" s="15" customFormat="1"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</row>
    <row r="272" spans="2:13" s="15" customFormat="1"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</row>
    <row r="273" spans="2:13" s="15" customFormat="1"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</row>
    <row r="274" spans="2:13" s="15" customFormat="1"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</row>
    <row r="275" spans="2:13" s="15" customFormat="1"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</row>
    <row r="276" spans="2:13" s="15" customFormat="1"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</row>
    <row r="277" spans="2:13" s="15" customFormat="1"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</row>
    <row r="278" spans="2:13" s="15" customFormat="1"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</row>
    <row r="279" spans="2:13" s="15" customFormat="1"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</row>
    <row r="280" spans="2:13" s="15" customFormat="1"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</row>
    <row r="281" spans="2:13" s="15" customFormat="1"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</row>
    <row r="282" spans="2:13" s="15" customFormat="1"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</row>
    <row r="283" spans="2:13" s="15" customFormat="1"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</row>
    <row r="284" spans="2:13" s="15" customFormat="1"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</row>
    <row r="285" spans="2:13" s="15" customFormat="1"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</row>
    <row r="286" spans="2:13" s="15" customFormat="1"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</row>
    <row r="287" spans="2:13" s="15" customFormat="1"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</row>
    <row r="288" spans="2:13" s="15" customFormat="1"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</row>
    <row r="289" spans="2:13" s="15" customFormat="1"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</row>
    <row r="290" spans="2:13" s="15" customFormat="1"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</row>
    <row r="291" spans="2:13" s="15" customFormat="1"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</row>
    <row r="292" spans="2:13" s="15" customFormat="1"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</row>
    <row r="293" spans="2:13" s="15" customFormat="1"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</row>
    <row r="294" spans="2:13" s="15" customFormat="1"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</row>
    <row r="295" spans="2:13" s="15" customFormat="1"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</row>
    <row r="296" spans="2:13" s="15" customFormat="1"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</row>
    <row r="297" spans="2:13" s="15" customFormat="1"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</row>
    <row r="298" spans="2:13" s="15" customFormat="1"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</row>
    <row r="299" spans="2:13" s="15" customFormat="1"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</row>
    <row r="300" spans="2:13" s="15" customFormat="1"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</row>
    <row r="301" spans="2:13" s="15" customFormat="1"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</row>
    <row r="302" spans="2:13" s="15" customFormat="1"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</row>
    <row r="303" spans="2:13" s="15" customFormat="1"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</row>
    <row r="304" spans="2:13" s="15" customFormat="1"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</row>
    <row r="305" spans="2:13" s="15" customFormat="1"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</row>
    <row r="306" spans="2:13" s="15" customFormat="1"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</row>
    <row r="307" spans="2:13" s="15" customFormat="1"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</row>
    <row r="308" spans="2:13" s="15" customFormat="1"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</row>
    <row r="309" spans="2:13" s="15" customFormat="1"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</row>
    <row r="310" spans="2:13" s="15" customFormat="1"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</row>
    <row r="311" spans="2:13" s="15" customFormat="1"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</row>
    <row r="312" spans="2:13" s="15" customFormat="1"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</row>
    <row r="313" spans="2:13" s="15" customFormat="1"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</row>
    <row r="314" spans="2:13" s="15" customFormat="1"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</row>
    <row r="315" spans="2:13" s="15" customFormat="1"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</row>
    <row r="316" spans="2:13" s="15" customFormat="1"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</row>
    <row r="317" spans="2:13" s="15" customFormat="1"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</row>
    <row r="318" spans="2:13" s="15" customFormat="1"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</row>
    <row r="319" spans="2:13" s="15" customFormat="1"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</row>
    <row r="320" spans="2:13" s="15" customFormat="1"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</row>
    <row r="321" spans="2:13" s="15" customFormat="1"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</row>
    <row r="322" spans="2:13" s="15" customFormat="1"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</row>
    <row r="323" spans="2:13" s="15" customFormat="1"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</row>
    <row r="324" spans="2:13" s="15" customFormat="1"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</row>
    <row r="325" spans="2:13" s="15" customFormat="1"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</row>
    <row r="326" spans="2:13" s="15" customFormat="1"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</row>
    <row r="327" spans="2:13" s="15" customFormat="1"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</row>
    <row r="328" spans="2:13" s="15" customFormat="1"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</row>
    <row r="329" spans="2:13" s="15" customFormat="1"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</row>
    <row r="330" spans="2:13" s="15" customFormat="1"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</row>
    <row r="331" spans="2:13" s="15" customFormat="1"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</row>
    <row r="332" spans="2:13" s="15" customFormat="1"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</row>
    <row r="333" spans="2:13" s="15" customFormat="1"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</row>
    <row r="334" spans="2:13" s="15" customFormat="1"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</row>
    <row r="335" spans="2:13" s="15" customFormat="1"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</row>
    <row r="336" spans="2:13" s="15" customFormat="1"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</row>
    <row r="337" spans="2:13" s="15" customFormat="1"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</row>
    <row r="338" spans="2:13" s="15" customFormat="1"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</row>
    <row r="339" spans="2:13" s="15" customFormat="1"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</row>
    <row r="340" spans="2:13" s="15" customFormat="1"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</row>
    <row r="341" spans="2:13" s="15" customFormat="1"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</row>
    <row r="342" spans="2:13" s="15" customFormat="1"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</row>
    <row r="343" spans="2:13" s="15" customFormat="1"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</row>
    <row r="344" spans="2:13" s="15" customFormat="1"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</row>
    <row r="345" spans="2:13" s="15" customFormat="1"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</row>
    <row r="346" spans="2:13" s="15" customFormat="1"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</row>
    <row r="347" spans="2:13" s="15" customFormat="1"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</row>
    <row r="348" spans="2:13" s="15" customFormat="1"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</row>
    <row r="349" spans="2:13" s="15" customFormat="1"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</row>
    <row r="350" spans="2:13" s="15" customFormat="1"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</row>
    <row r="351" spans="2:13" s="15" customFormat="1"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</row>
    <row r="352" spans="2:13" s="15" customFormat="1"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</row>
    <row r="353" spans="2:13" s="15" customFormat="1"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</row>
    <row r="354" spans="2:13" s="15" customFormat="1"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</row>
    <row r="355" spans="2:13" s="15" customFormat="1"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</row>
    <row r="356" spans="2:13" s="15" customFormat="1"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</row>
    <row r="357" spans="2:13" s="15" customFormat="1"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</row>
    <row r="358" spans="2:13" s="15" customFormat="1"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</row>
    <row r="359" spans="2:13" s="15" customFormat="1"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</row>
    <row r="360" spans="2:13" s="15" customFormat="1"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</row>
    <row r="361" spans="2:13" s="15" customFormat="1"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</row>
    <row r="362" spans="2:13" s="15" customFormat="1"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</row>
    <row r="363" spans="2:13" s="15" customFormat="1"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</row>
    <row r="364" spans="2:13" s="15" customFormat="1"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</row>
    <row r="365" spans="2:13" s="15" customFormat="1"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</row>
    <row r="366" spans="2:13" s="15" customFormat="1"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</row>
    <row r="367" spans="2:13" s="15" customFormat="1"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</row>
    <row r="368" spans="2:13" s="15" customFormat="1"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</row>
    <row r="369" spans="2:13" s="15" customFormat="1"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</row>
    <row r="370" spans="2:13" s="15" customFormat="1"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</row>
    <row r="371" spans="2:13" s="15" customFormat="1"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</row>
    <row r="372" spans="2:13" s="15" customFormat="1"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</row>
    <row r="373" spans="2:13" s="15" customFormat="1"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</row>
    <row r="374" spans="2:13" s="15" customFormat="1"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</row>
    <row r="375" spans="2:13" s="15" customFormat="1"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</row>
    <row r="376" spans="2:13" s="15" customFormat="1"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</row>
    <row r="377" spans="2:13" s="15" customFormat="1"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</row>
    <row r="378" spans="2:13" s="15" customFormat="1"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</row>
    <row r="379" spans="2:13" s="15" customFormat="1"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</row>
    <row r="380" spans="2:13" s="15" customFormat="1"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</row>
    <row r="381" spans="2:13" s="15" customFormat="1"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</row>
    <row r="382" spans="2:13" s="15" customFormat="1"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</row>
    <row r="383" spans="2:13" s="15" customFormat="1"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</row>
    <row r="384" spans="2:13" s="15" customFormat="1"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</row>
    <row r="385" spans="2:13" s="15" customFormat="1"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</row>
    <row r="386" spans="2:13" s="15" customFormat="1"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</row>
    <row r="387" spans="2:13" s="15" customFormat="1"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</row>
    <row r="388" spans="2:13" s="15" customFormat="1"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</row>
    <row r="389" spans="2:13" s="15" customFormat="1"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</row>
    <row r="390" spans="2:13" s="15" customFormat="1"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</row>
    <row r="391" spans="2:13" s="15" customFormat="1"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</row>
    <row r="392" spans="2:13" s="15" customFormat="1"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</row>
    <row r="393" spans="2:13" s="15" customFormat="1"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</row>
    <row r="394" spans="2:13" s="15" customFormat="1"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</row>
    <row r="395" spans="2:13" s="15" customFormat="1"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</row>
    <row r="396" spans="2:13" s="15" customFormat="1"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</row>
    <row r="397" spans="2:13" s="15" customFormat="1"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</row>
    <row r="398" spans="2:13" s="15" customFormat="1"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</row>
    <row r="399" spans="2:13" s="15" customFormat="1"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</row>
    <row r="400" spans="2:13" s="15" customFormat="1"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</row>
    <row r="401" spans="2:13" s="15" customFormat="1"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</row>
    <row r="402" spans="2:13" s="15" customFormat="1"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</row>
    <row r="403" spans="2:13" s="15" customFormat="1"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</row>
    <row r="404" spans="2:13" s="15" customFormat="1"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</row>
    <row r="405" spans="2:13" s="15" customFormat="1"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</row>
    <row r="406" spans="2:13" s="15" customFormat="1"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</row>
    <row r="407" spans="2:13" s="15" customFormat="1"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</row>
    <row r="408" spans="2:13" s="15" customFormat="1"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</row>
    <row r="409" spans="2:13" s="15" customFormat="1"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</row>
    <row r="410" spans="2:13" s="15" customFormat="1"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</row>
    <row r="411" spans="2:13" s="15" customFormat="1"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</row>
    <row r="412" spans="2:13" s="15" customFormat="1"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</row>
    <row r="413" spans="2:13" s="15" customFormat="1"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</row>
    <row r="414" spans="2:13" s="15" customFormat="1"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</row>
    <row r="415" spans="2:13" s="15" customFormat="1"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</row>
    <row r="416" spans="2:13" s="15" customFormat="1"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</row>
    <row r="417" spans="2:13" s="15" customFormat="1"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</row>
    <row r="418" spans="2:13" s="15" customFormat="1"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</row>
    <row r="419" spans="2:13" s="15" customFormat="1"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</row>
    <row r="420" spans="2:13" s="15" customFormat="1"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</row>
    <row r="421" spans="2:13" s="15" customFormat="1"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</row>
    <row r="422" spans="2:13" s="15" customFormat="1"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</row>
    <row r="423" spans="2:13" s="15" customFormat="1"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</row>
    <row r="424" spans="2:13" s="15" customFormat="1"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</row>
    <row r="425" spans="2:13" s="15" customFormat="1"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</row>
    <row r="426" spans="2:13" s="15" customFormat="1"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</row>
    <row r="427" spans="2:13" s="15" customFormat="1"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</row>
    <row r="428" spans="2:13" s="15" customFormat="1"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</row>
    <row r="429" spans="2:13" s="15" customFormat="1"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</row>
    <row r="430" spans="2:13" s="15" customFormat="1"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</row>
    <row r="431" spans="2:13" s="15" customFormat="1"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</row>
    <row r="432" spans="2:13" s="15" customFormat="1"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</row>
    <row r="433" spans="2:13" s="15" customFormat="1"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</row>
    <row r="434" spans="2:13" s="15" customFormat="1"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</row>
    <row r="435" spans="2:13" s="15" customFormat="1"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</row>
    <row r="436" spans="2:13" s="15" customFormat="1"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</row>
    <row r="437" spans="2:13" s="15" customFormat="1"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</row>
    <row r="438" spans="2:13" s="15" customFormat="1"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</row>
    <row r="439" spans="2:13" s="15" customFormat="1"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</row>
    <row r="440" spans="2:13" s="15" customFormat="1"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</row>
    <row r="441" spans="2:13" s="15" customFormat="1"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</row>
    <row r="442" spans="2:13" s="15" customFormat="1"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</row>
    <row r="443" spans="2:13" s="15" customFormat="1"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</row>
    <row r="444" spans="2:13" s="15" customFormat="1"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</row>
    <row r="445" spans="2:13" s="15" customFormat="1"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</row>
    <row r="446" spans="2:13" s="15" customFormat="1"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</row>
    <row r="447" spans="2:13" s="15" customFormat="1"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</row>
    <row r="448" spans="2:13" s="15" customFormat="1"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</row>
    <row r="449" spans="2:13" s="15" customFormat="1"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</row>
    <row r="450" spans="2:13" s="15" customFormat="1"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</row>
    <row r="451" spans="2:13" s="15" customFormat="1"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</row>
    <row r="452" spans="2:13" s="15" customFormat="1"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</row>
    <row r="453" spans="2:13" s="15" customFormat="1"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</row>
    <row r="454" spans="2:13" s="15" customFormat="1"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</row>
    <row r="455" spans="2:13" s="15" customFormat="1"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</row>
    <row r="456" spans="2:13" s="15" customFormat="1"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</row>
    <row r="457" spans="2:13" s="15" customFormat="1"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</row>
    <row r="458" spans="2:13" s="15" customFormat="1"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</row>
    <row r="459" spans="2:13" s="15" customFormat="1"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</row>
    <row r="460" spans="2:13" s="15" customFormat="1"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</row>
    <row r="461" spans="2:13" s="15" customFormat="1"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</row>
    <row r="462" spans="2:13" s="15" customFormat="1"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</row>
    <row r="463" spans="2:13" s="15" customFormat="1"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</row>
    <row r="464" spans="2:13" s="15" customFormat="1"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</row>
    <row r="465" spans="2:13" s="15" customFormat="1"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</row>
    <row r="466" spans="2:13" s="15" customFormat="1"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</row>
    <row r="467" spans="2:13" s="15" customFormat="1"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</row>
    <row r="468" spans="2:13" s="15" customFormat="1"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</row>
    <row r="469" spans="2:13" s="15" customFormat="1"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</row>
    <row r="470" spans="2:13" s="15" customFormat="1"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</row>
    <row r="471" spans="2:13" s="15" customFormat="1"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</row>
    <row r="472" spans="2:13" s="15" customFormat="1"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</row>
    <row r="473" spans="2:13" s="15" customFormat="1"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</row>
    <row r="474" spans="2:13" s="15" customFormat="1"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</row>
    <row r="475" spans="2:13" s="15" customFormat="1"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</row>
    <row r="476" spans="2:13" s="15" customFormat="1"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</row>
    <row r="477" spans="2:13" s="15" customFormat="1"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</row>
    <row r="478" spans="2:13" s="15" customFormat="1"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</row>
    <row r="479" spans="2:13" s="15" customFormat="1"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</row>
    <row r="480" spans="2:13" s="15" customFormat="1"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</row>
    <row r="481" spans="2:13" s="15" customFormat="1"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</row>
    <row r="482" spans="2:13" s="15" customFormat="1"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</row>
    <row r="483" spans="2:13" s="15" customFormat="1"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</row>
    <row r="484" spans="2:13" s="15" customFormat="1"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</row>
    <row r="485" spans="2:13" s="15" customFormat="1"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</row>
    <row r="486" spans="2:13" s="15" customFormat="1"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</row>
    <row r="487" spans="2:13" s="15" customFormat="1"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</row>
    <row r="488" spans="2:13" s="15" customFormat="1"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</row>
    <row r="489" spans="2:13" s="15" customFormat="1"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</row>
    <row r="490" spans="2:13" s="15" customFormat="1"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</row>
    <row r="491" spans="2:13" s="15" customFormat="1"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</row>
    <row r="492" spans="2:13" s="15" customFormat="1"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</row>
    <row r="493" spans="2:13" s="15" customFormat="1"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</row>
    <row r="494" spans="2:13" s="15" customFormat="1"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</row>
    <row r="495" spans="2:13" s="15" customFormat="1"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</row>
    <row r="496" spans="2:13" s="15" customFormat="1"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</row>
    <row r="497" spans="2:13" s="15" customFormat="1"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</row>
    <row r="498" spans="2:13" s="15" customFormat="1"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</row>
    <row r="499" spans="2:13" s="15" customFormat="1"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</row>
    <row r="500" spans="2:13" s="15" customFormat="1"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</row>
    <row r="501" spans="2:13" s="15" customFormat="1"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</row>
    <row r="502" spans="2:13" s="15" customFormat="1"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</row>
    <row r="503" spans="2:13" s="15" customFormat="1"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</row>
    <row r="504" spans="2:13" s="15" customFormat="1"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</row>
    <row r="505" spans="2:13" s="15" customFormat="1"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</row>
    <row r="506" spans="2:13" s="15" customFormat="1"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</row>
    <row r="507" spans="2:13" s="15" customFormat="1"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</row>
    <row r="508" spans="2:13" s="15" customFormat="1"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</row>
    <row r="509" spans="2:13" s="15" customFormat="1"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</row>
    <row r="510" spans="2:13" s="15" customFormat="1"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</row>
    <row r="511" spans="2:13" s="15" customFormat="1"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</row>
    <row r="512" spans="2:13" s="15" customFormat="1"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</row>
    <row r="513" spans="2:13" s="15" customFormat="1"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</row>
    <row r="514" spans="2:13" s="15" customFormat="1"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</row>
    <row r="515" spans="2:13" s="15" customFormat="1"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</row>
    <row r="516" spans="2:13" s="15" customFormat="1"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</row>
    <row r="517" spans="2:13" s="15" customFormat="1"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</row>
    <row r="518" spans="2:13" s="15" customFormat="1"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</row>
    <row r="519" spans="2:13" s="15" customFormat="1"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</row>
    <row r="520" spans="2:13" s="15" customFormat="1"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</row>
    <row r="521" spans="2:13" s="15" customFormat="1"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</row>
    <row r="522" spans="2:13" s="15" customFormat="1"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</row>
    <row r="523" spans="2:13" s="15" customFormat="1"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</row>
    <row r="524" spans="2:13" s="15" customFormat="1"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</row>
    <row r="525" spans="2:13" s="15" customFormat="1"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</row>
    <row r="526" spans="2:13" s="15" customFormat="1"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</row>
    <row r="527" spans="2:13" s="15" customFormat="1"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</row>
    <row r="528" spans="2:13" s="15" customFormat="1"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</row>
    <row r="529" spans="2:13" s="15" customFormat="1"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</row>
    <row r="530" spans="2:13" s="15" customFormat="1"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</row>
    <row r="531" spans="2:13" s="15" customFormat="1"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</row>
    <row r="532" spans="2:13" s="15" customFormat="1"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</row>
    <row r="533" spans="2:13" s="15" customFormat="1"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</row>
    <row r="534" spans="2:13" s="15" customFormat="1"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</row>
    <row r="535" spans="2:13" s="15" customFormat="1"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</row>
    <row r="536" spans="2:13" s="15" customFormat="1"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</row>
    <row r="537" spans="2:13" s="15" customFormat="1"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</row>
    <row r="538" spans="2:13" s="15" customFormat="1"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</row>
    <row r="539" spans="2:13" s="15" customFormat="1"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</row>
    <row r="540" spans="2:13" s="15" customFormat="1"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</row>
    <row r="541" spans="2:13" s="15" customFormat="1"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</row>
    <row r="542" spans="2:13" s="15" customFormat="1"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</row>
    <row r="543" spans="2:13" s="15" customFormat="1"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</row>
    <row r="544" spans="2:13" s="15" customFormat="1"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</row>
    <row r="545" spans="2:13" s="15" customFormat="1"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</row>
    <row r="546" spans="2:13" s="15" customFormat="1"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</row>
    <row r="547" spans="2:13" s="15" customFormat="1"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</row>
    <row r="548" spans="2:13" s="15" customFormat="1"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</row>
    <row r="549" spans="2:13" s="15" customFormat="1"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</row>
    <row r="550" spans="2:13" s="15" customFormat="1"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</row>
    <row r="551" spans="2:13" s="15" customFormat="1"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</row>
    <row r="552" spans="2:13" s="15" customFormat="1"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</row>
    <row r="553" spans="2:13" s="15" customFormat="1"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</row>
    <row r="554" spans="2:13" s="15" customFormat="1"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</row>
    <row r="555" spans="2:13" s="15" customFormat="1"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</row>
    <row r="556" spans="2:13" s="15" customFormat="1"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</row>
    <row r="557" spans="2:13" s="15" customFormat="1"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</row>
    <row r="558" spans="2:13" s="15" customFormat="1"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</row>
    <row r="559" spans="2:13" s="15" customFormat="1"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</row>
    <row r="560" spans="2:13" s="15" customFormat="1"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</row>
    <row r="561" spans="2:13" s="15" customFormat="1"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</row>
    <row r="562" spans="2:13" s="15" customFormat="1"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</row>
    <row r="563" spans="2:13" s="15" customFormat="1"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</row>
    <row r="564" spans="2:13" s="15" customFormat="1"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</row>
    <row r="565" spans="2:13" s="15" customFormat="1"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</row>
    <row r="566" spans="2:13" s="15" customFormat="1"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</row>
    <row r="567" spans="2:13" s="15" customFormat="1"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</row>
    <row r="568" spans="2:13" s="15" customFormat="1"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</row>
    <row r="569" spans="2:13" s="15" customFormat="1"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</row>
    <row r="570" spans="2:13" s="15" customFormat="1"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</row>
    <row r="571" spans="2:13" s="15" customFormat="1"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</row>
    <row r="572" spans="2:13" s="15" customFormat="1"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</row>
    <row r="573" spans="2:13" s="15" customFormat="1"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</row>
    <row r="574" spans="2:13" s="15" customFormat="1"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</row>
    <row r="575" spans="2:13" s="15" customFormat="1"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</row>
    <row r="576" spans="2:13" s="15" customFormat="1"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</row>
    <row r="577" spans="2:13" s="15" customFormat="1"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</row>
    <row r="578" spans="2:13" s="15" customFormat="1"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</row>
    <row r="579" spans="2:13" s="15" customFormat="1"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</row>
    <row r="580" spans="2:13" s="15" customFormat="1"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</row>
    <row r="581" spans="2:13" s="15" customFormat="1"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</row>
    <row r="582" spans="2:13" s="15" customFormat="1"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</row>
    <row r="583" spans="2:13" s="15" customFormat="1"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</row>
    <row r="584" spans="2:13" s="15" customFormat="1"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</row>
    <row r="585" spans="2:13" s="15" customFormat="1"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</row>
    <row r="586" spans="2:13" s="15" customFormat="1"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</row>
    <row r="587" spans="2:13" s="15" customFormat="1"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</row>
    <row r="588" spans="2:13" s="15" customFormat="1"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</row>
    <row r="589" spans="2:13" s="15" customFormat="1"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</row>
    <row r="590" spans="2:13" s="15" customFormat="1"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</row>
    <row r="591" spans="2:13" s="15" customFormat="1"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</row>
    <row r="592" spans="2:13" s="15" customFormat="1"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</row>
    <row r="593" spans="2:13" s="15" customFormat="1"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</row>
    <row r="594" spans="2:13" s="15" customFormat="1"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</row>
    <row r="595" spans="2:13" s="15" customFormat="1"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</row>
    <row r="596" spans="2:13" s="15" customFormat="1"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</row>
    <row r="597" spans="2:13" s="15" customFormat="1"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</row>
    <row r="598" spans="2:13" s="15" customFormat="1"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</row>
    <row r="599" spans="2:13" s="15" customFormat="1"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</row>
    <row r="600" spans="2:13" s="15" customFormat="1"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</row>
    <row r="601" spans="2:13" s="15" customFormat="1"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</row>
    <row r="602" spans="2:13" s="15" customFormat="1"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</row>
    <row r="603" spans="2:13" s="15" customFormat="1"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</row>
    <row r="604" spans="2:13" s="15" customFormat="1"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</row>
    <row r="605" spans="2:13" s="15" customFormat="1"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</row>
    <row r="606" spans="2:13" s="15" customFormat="1"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</row>
    <row r="607" spans="2:13" s="15" customFormat="1"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</row>
    <row r="608" spans="2:13" s="15" customFormat="1"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</row>
    <row r="609" spans="2:13" s="15" customFormat="1"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</row>
    <row r="610" spans="2:13" s="15" customFormat="1"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</row>
    <row r="611" spans="2:13" s="15" customFormat="1"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</row>
    <row r="612" spans="2:13" s="15" customFormat="1"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</row>
    <row r="613" spans="2:13" s="15" customFormat="1"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</row>
    <row r="614" spans="2:13" s="15" customFormat="1"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</row>
    <row r="615" spans="2:13" s="15" customFormat="1"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</row>
    <row r="616" spans="2:13" s="15" customFormat="1"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</row>
    <row r="617" spans="2:13" s="15" customFormat="1"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</row>
    <row r="618" spans="2:13" s="15" customFormat="1"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</row>
    <row r="619" spans="2:13" s="15" customFormat="1"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</row>
    <row r="620" spans="2:13" s="15" customFormat="1"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</row>
    <row r="621" spans="2:13" s="15" customFormat="1"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</row>
    <row r="622" spans="2:13" s="15" customFormat="1"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</row>
    <row r="623" spans="2:13" s="15" customFormat="1"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</row>
    <row r="624" spans="2:13" s="15" customFormat="1"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</row>
    <row r="625" spans="2:13" s="15" customFormat="1"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</row>
    <row r="626" spans="2:13" s="15" customFormat="1"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</row>
    <row r="627" spans="2:13" s="15" customFormat="1"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</row>
    <row r="628" spans="2:13" s="15" customFormat="1"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</row>
    <row r="629" spans="2:13" s="15" customFormat="1"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</row>
    <row r="630" spans="2:13" s="15" customFormat="1"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</row>
    <row r="631" spans="2:13" s="15" customFormat="1"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</row>
    <row r="632" spans="2:13" s="15" customFormat="1"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</row>
    <row r="633" spans="2:13" s="15" customFormat="1"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</row>
    <row r="634" spans="2:13" s="15" customFormat="1"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</row>
    <row r="635" spans="2:13" s="15" customFormat="1"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</row>
    <row r="636" spans="2:13" s="15" customFormat="1"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</row>
    <row r="637" spans="2:13" s="15" customFormat="1"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</row>
    <row r="638" spans="2:13" s="15" customFormat="1"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</row>
    <row r="639" spans="2:13" s="15" customFormat="1"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</row>
    <row r="640" spans="2:13" s="15" customFormat="1"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</row>
    <row r="641" spans="2:13" s="15" customFormat="1"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</row>
    <row r="642" spans="2:13" s="15" customFormat="1"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</row>
    <row r="643" spans="2:13" s="15" customFormat="1"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</row>
    <row r="644" spans="2:13" s="15" customFormat="1"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</row>
    <row r="645" spans="2:13" s="15" customFormat="1"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</row>
    <row r="646" spans="2:13" s="15" customFormat="1"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</row>
    <row r="647" spans="2:13" s="15" customFormat="1"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</row>
    <row r="648" spans="2:13" s="15" customFormat="1"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</row>
    <row r="649" spans="2:13" s="15" customFormat="1"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</row>
    <row r="650" spans="2:13" s="15" customFormat="1"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</row>
    <row r="651" spans="2:13" s="15" customFormat="1"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</row>
    <row r="652" spans="2:13" s="15" customFormat="1"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</row>
    <row r="653" spans="2:13" s="15" customFormat="1"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</row>
    <row r="654" spans="2:13" s="15" customFormat="1"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</row>
    <row r="655" spans="2:13" s="15" customFormat="1"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</row>
    <row r="656" spans="2:13" s="15" customFormat="1"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</row>
    <row r="657" spans="2:13" s="15" customFormat="1"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</row>
    <row r="658" spans="2:13" s="15" customFormat="1"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</row>
    <row r="659" spans="2:13" s="15" customFormat="1"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</row>
    <row r="660" spans="2:13" s="15" customFormat="1"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</row>
    <row r="661" spans="2:13" s="15" customFormat="1"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</row>
    <row r="662" spans="2:13" s="15" customFormat="1"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</row>
    <row r="663" spans="2:13" s="15" customFormat="1"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</row>
    <row r="664" spans="2:13" s="15" customFormat="1"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</row>
    <row r="665" spans="2:13" s="15" customFormat="1"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</row>
    <row r="666" spans="2:13" s="15" customFormat="1"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</row>
    <row r="667" spans="2:13" s="15" customFormat="1"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</row>
    <row r="668" spans="2:13" s="15" customFormat="1"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</row>
    <row r="669" spans="2:13" s="15" customFormat="1"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</row>
    <row r="670" spans="2:13" s="15" customFormat="1"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</row>
    <row r="671" spans="2:13" s="15" customFormat="1"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</row>
    <row r="672" spans="2:13" s="15" customFormat="1"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</row>
    <row r="673" spans="2:13" s="15" customFormat="1"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</row>
    <row r="674" spans="2:13" s="15" customFormat="1"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</row>
    <row r="675" spans="2:13" s="15" customFormat="1"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</row>
    <row r="676" spans="2:13" s="15" customFormat="1"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</row>
    <row r="677" spans="2:13" s="15" customFormat="1"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</row>
    <row r="678" spans="2:13" s="15" customFormat="1"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</row>
    <row r="679" spans="2:13" s="15" customFormat="1"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</row>
    <row r="680" spans="2:13" s="15" customFormat="1"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</row>
    <row r="681" spans="2:13" s="15" customFormat="1"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</row>
    <row r="682" spans="2:13" s="15" customFormat="1"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</row>
    <row r="683" spans="2:13" s="15" customFormat="1"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</row>
    <row r="684" spans="2:13" s="15" customFormat="1"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</row>
    <row r="685" spans="2:13" s="15" customFormat="1"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</row>
    <row r="686" spans="2:13" s="15" customFormat="1"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</row>
    <row r="687" spans="2:13" s="15" customFormat="1"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</row>
    <row r="688" spans="2:13" s="15" customFormat="1"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</row>
    <row r="689" spans="2:13" s="15" customFormat="1"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</row>
    <row r="690" spans="2:13" s="15" customFormat="1"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</row>
    <row r="691" spans="2:13" s="15" customFormat="1"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</row>
    <row r="692" spans="2:13" s="15" customFormat="1"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</row>
    <row r="693" spans="2:13" s="15" customFormat="1"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</row>
    <row r="694" spans="2:13" s="15" customFormat="1"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</row>
    <row r="695" spans="2:13" s="15" customFormat="1"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</row>
    <row r="696" spans="2:13" s="15" customFormat="1"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</row>
    <row r="697" spans="2:13" s="15" customFormat="1"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</row>
    <row r="698" spans="2:13" s="15" customFormat="1"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</row>
    <row r="699" spans="2:13" s="15" customFormat="1"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</row>
    <row r="700" spans="2:13" s="15" customFormat="1"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</row>
    <row r="701" spans="2:13" s="15" customFormat="1"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</row>
    <row r="702" spans="2:13" s="15" customFormat="1"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</row>
    <row r="703" spans="2:13" s="15" customFormat="1"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</row>
    <row r="704" spans="2:13" s="15" customFormat="1"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</row>
    <row r="705" spans="2:13" s="15" customFormat="1"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</row>
    <row r="706" spans="2:13" s="15" customFormat="1"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</row>
    <row r="707" spans="2:13" s="15" customFormat="1"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</row>
    <row r="708" spans="2:13" s="15" customFormat="1"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</row>
    <row r="709" spans="2:13" s="15" customFormat="1"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</row>
    <row r="710" spans="2:13" s="15" customFormat="1"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</row>
    <row r="711" spans="2:13" s="15" customFormat="1"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</row>
    <row r="712" spans="2:13" s="15" customFormat="1"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</row>
    <row r="713" spans="2:13" s="15" customFormat="1"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</row>
    <row r="714" spans="2:13" s="15" customFormat="1"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</row>
    <row r="715" spans="2:13" s="15" customFormat="1"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</row>
    <row r="716" spans="2:13" s="15" customFormat="1"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</row>
    <row r="717" spans="2:13" s="15" customFormat="1"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</row>
    <row r="718" spans="2:13" s="15" customFormat="1"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</row>
    <row r="719" spans="2:13" s="15" customFormat="1"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</row>
    <row r="720" spans="2:13" s="15" customFormat="1"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</row>
    <row r="721" spans="2:13" s="15" customFormat="1"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</row>
    <row r="722" spans="2:13" s="15" customFormat="1"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</row>
    <row r="723" spans="2:13" s="15" customFormat="1"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</row>
    <row r="724" spans="2:13" s="15" customFormat="1"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</row>
    <row r="725" spans="2:13" s="15" customFormat="1"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</row>
    <row r="726" spans="2:13" s="15" customFormat="1"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</row>
    <row r="727" spans="2:13" s="15" customFormat="1"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</row>
    <row r="728" spans="2:13" s="15" customFormat="1"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</row>
    <row r="729" spans="2:13" s="15" customFormat="1"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</row>
    <row r="730" spans="2:13" s="15" customFormat="1"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</row>
    <row r="731" spans="2:13" s="15" customFormat="1"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</row>
    <row r="732" spans="2:13" s="15" customFormat="1"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</row>
    <row r="733" spans="2:13" s="15" customFormat="1"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</row>
    <row r="734" spans="2:13" s="15" customFormat="1"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</row>
    <row r="735" spans="2:13" s="15" customFormat="1"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</row>
    <row r="736" spans="2:13" s="15" customFormat="1"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</row>
    <row r="737" spans="2:13" s="15" customFormat="1"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</row>
    <row r="738" spans="2:13" s="15" customFormat="1"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</row>
    <row r="739" spans="2:13" s="15" customFormat="1"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</row>
    <row r="740" spans="2:13" s="15" customFormat="1"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</row>
    <row r="741" spans="2:13" s="15" customFormat="1"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</row>
    <row r="742" spans="2:13" s="15" customFormat="1"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</row>
    <row r="743" spans="2:13" s="15" customFormat="1"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</row>
    <row r="744" spans="2:13" s="15" customFormat="1"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</row>
    <row r="745" spans="2:13" s="15" customFormat="1"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</row>
    <row r="746" spans="2:13" s="15" customFormat="1"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</row>
    <row r="747" spans="2:13" s="15" customFormat="1"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</row>
    <row r="748" spans="2:13" s="15" customFormat="1"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</row>
    <row r="749" spans="2:13" s="15" customFormat="1"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</row>
    <row r="750" spans="2:13" s="15" customFormat="1"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</row>
    <row r="751" spans="2:13" s="15" customFormat="1"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</row>
    <row r="752" spans="2:13" s="15" customFormat="1"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</row>
    <row r="753" spans="2:13" s="15" customFormat="1"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</row>
    <row r="754" spans="2:13" s="15" customFormat="1"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</row>
    <row r="755" spans="2:13" s="15" customFormat="1"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</row>
    <row r="756" spans="2:13" s="15" customFormat="1"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</row>
    <row r="757" spans="2:13" s="15" customFormat="1"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</row>
    <row r="758" spans="2:13" s="15" customFormat="1"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</row>
    <row r="759" spans="2:13" s="15" customFormat="1"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</row>
    <row r="760" spans="2:13" s="15" customFormat="1"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</row>
    <row r="761" spans="2:13" s="15" customFormat="1"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</row>
    <row r="762" spans="2:13" s="15" customFormat="1"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</row>
    <row r="763" spans="2:13" s="15" customFormat="1"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</row>
    <row r="764" spans="2:13" s="15" customFormat="1"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</row>
    <row r="765" spans="2:13" s="15" customFormat="1"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</row>
    <row r="766" spans="2:13" s="15" customFormat="1"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</row>
    <row r="767" spans="2:13" s="15" customFormat="1"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</row>
    <row r="768" spans="2:13" s="15" customFormat="1"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</row>
    <row r="769" spans="2:13" s="15" customFormat="1"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</row>
    <row r="770" spans="2:13" s="15" customFormat="1"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</row>
    <row r="771" spans="2:13" s="15" customFormat="1"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</row>
    <row r="772" spans="2:13" s="15" customFormat="1"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</row>
    <row r="773" spans="2:13" s="15" customFormat="1"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</row>
    <row r="774" spans="2:13" s="15" customFormat="1"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</row>
    <row r="775" spans="2:13" s="15" customFormat="1"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</row>
    <row r="776" spans="2:13" s="15" customFormat="1"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</row>
    <row r="777" spans="2:13" s="15" customFormat="1"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</row>
    <row r="778" spans="2:13" s="15" customFormat="1"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</row>
    <row r="779" spans="2:13" s="15" customFormat="1"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</row>
    <row r="780" spans="2:13" s="15" customFormat="1"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</row>
    <row r="781" spans="2:13" s="15" customFormat="1"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</row>
    <row r="782" spans="2:13" s="15" customFormat="1"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</row>
    <row r="783" spans="2:13" s="15" customFormat="1"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</row>
    <row r="784" spans="2:13" s="15" customFormat="1"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</row>
    <row r="785" spans="2:13" s="15" customFormat="1"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</row>
    <row r="786" spans="2:13" s="15" customFormat="1"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</row>
    <row r="787" spans="2:13" s="15" customFormat="1"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</row>
    <row r="788" spans="2:13" s="15" customFormat="1"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</row>
    <row r="789" spans="2:13" s="15" customFormat="1"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</row>
    <row r="790" spans="2:13" s="15" customFormat="1"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</row>
    <row r="791" spans="2:13" s="15" customFormat="1"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</row>
    <row r="792" spans="2:13" s="15" customFormat="1"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</row>
    <row r="793" spans="2:13" s="15" customFormat="1"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</row>
    <row r="794" spans="2:13" s="15" customFormat="1"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</row>
    <row r="795" spans="2:13" s="15" customFormat="1"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</row>
    <row r="796" spans="2:13" s="15" customFormat="1"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</row>
    <row r="797" spans="2:13" s="15" customFormat="1"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</row>
    <row r="798" spans="2:13" s="15" customFormat="1"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</row>
    <row r="799" spans="2:13" s="15" customFormat="1"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</row>
    <row r="800" spans="2:13" s="15" customFormat="1"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</row>
    <row r="801" spans="2:13" s="15" customFormat="1"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</row>
    <row r="802" spans="2:13" s="15" customFormat="1"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</row>
    <row r="803" spans="2:13" s="15" customFormat="1"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</row>
    <row r="804" spans="2:13" s="15" customFormat="1"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</row>
    <row r="805" spans="2:13" s="15" customFormat="1"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</row>
    <row r="806" spans="2:13" s="15" customFormat="1"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</row>
    <row r="807" spans="2:13" s="15" customFormat="1"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</row>
    <row r="808" spans="2:13" s="15" customFormat="1"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</row>
    <row r="809" spans="2:13" s="15" customFormat="1"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</row>
    <row r="810" spans="2:13" s="15" customFormat="1"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</row>
    <row r="811" spans="2:13" s="15" customFormat="1"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</row>
    <row r="812" spans="2:13" s="15" customFormat="1"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</row>
    <row r="813" spans="2:13" s="15" customFormat="1"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</row>
    <row r="814" spans="2:13" s="15" customFormat="1"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</row>
    <row r="815" spans="2:13" s="15" customFormat="1"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</row>
    <row r="816" spans="2:13" s="15" customFormat="1"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</row>
    <row r="817" spans="2:13" s="15" customFormat="1"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</row>
    <row r="818" spans="2:13" s="15" customFormat="1"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</row>
    <row r="819" spans="2:13" s="15" customFormat="1"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</row>
    <row r="820" spans="2:13" s="15" customFormat="1"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</row>
    <row r="821" spans="2:13" s="15" customFormat="1"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</row>
    <row r="822" spans="2:13" s="15" customFormat="1"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</row>
    <row r="823" spans="2:13" s="15" customFormat="1"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</row>
    <row r="824" spans="2:13" s="15" customFormat="1"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</row>
    <row r="825" spans="2:13" s="15" customFormat="1"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</row>
    <row r="826" spans="2:13" s="15" customFormat="1"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</row>
    <row r="827" spans="2:13" s="15" customFormat="1"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</row>
    <row r="828" spans="2:13" s="15" customFormat="1"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</row>
    <row r="829" spans="2:13" s="15" customFormat="1"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</row>
    <row r="830" spans="2:13" s="15" customFormat="1"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</row>
    <row r="831" spans="2:13" s="15" customFormat="1"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</row>
    <row r="832" spans="2:13" s="15" customFormat="1"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</row>
    <row r="833" spans="2:13" s="15" customFormat="1"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</row>
    <row r="834" spans="2:13" s="15" customFormat="1"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</row>
    <row r="835" spans="2:13" s="15" customFormat="1"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</row>
    <row r="836" spans="2:13" s="15" customFormat="1"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</row>
    <row r="837" spans="2:13" s="15" customFormat="1"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</row>
    <row r="838" spans="2:13" s="15" customFormat="1"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</row>
    <row r="839" spans="2:13" s="15" customFormat="1"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</row>
    <row r="840" spans="2:13" s="15" customFormat="1"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</row>
    <row r="841" spans="2:13" s="15" customFormat="1"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</row>
    <row r="842" spans="2:13" s="15" customFormat="1"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</row>
    <row r="843" spans="2:13" s="15" customFormat="1"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</row>
    <row r="844" spans="2:13" s="15" customFormat="1"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</row>
    <row r="845" spans="2:13" s="15" customFormat="1"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</row>
    <row r="846" spans="2:13" s="15" customFormat="1"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</row>
    <row r="847" spans="2:13" s="15" customFormat="1"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</row>
    <row r="848" spans="2:13" s="15" customFormat="1"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</row>
    <row r="849" spans="2:13" s="15" customFormat="1"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</row>
    <row r="850" spans="2:13" s="15" customFormat="1"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</row>
    <row r="851" spans="2:13" s="15" customFormat="1"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</row>
    <row r="852" spans="2:13" s="15" customFormat="1"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</row>
    <row r="853" spans="2:13" s="15" customFormat="1"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</row>
    <row r="854" spans="2:13" s="15" customFormat="1"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</row>
    <row r="855" spans="2:13" s="15" customFormat="1"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</row>
    <row r="856" spans="2:13" s="15" customFormat="1"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</row>
    <row r="857" spans="2:13" s="15" customFormat="1"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</row>
    <row r="858" spans="2:13" s="15" customFormat="1"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</row>
    <row r="859" spans="2:13" s="15" customFormat="1"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</row>
    <row r="860" spans="2:13" s="15" customFormat="1"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</row>
    <row r="861" spans="2:13" s="15" customFormat="1"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</row>
    <row r="862" spans="2:13" s="15" customFormat="1"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</row>
    <row r="863" spans="2:13" s="15" customFormat="1"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</row>
    <row r="864" spans="2:13" s="15" customFormat="1"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</row>
    <row r="865" spans="2:13" s="15" customFormat="1"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</row>
    <row r="866" spans="2:13" s="15" customFormat="1"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</row>
    <row r="867" spans="2:13" s="15" customFormat="1"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</row>
    <row r="868" spans="2:13" s="15" customFormat="1"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</row>
    <row r="869" spans="2:13" s="15" customFormat="1"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</row>
    <row r="870" spans="2:13" s="15" customFormat="1"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</row>
    <row r="871" spans="2:13" s="15" customFormat="1"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</row>
    <row r="872" spans="2:13" s="15" customFormat="1"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</row>
    <row r="873" spans="2:13" s="15" customFormat="1"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</row>
    <row r="874" spans="2:13" s="15" customFormat="1"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</row>
    <row r="875" spans="2:13" s="15" customFormat="1"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</row>
    <row r="876" spans="2:13" s="15" customFormat="1"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</row>
    <row r="877" spans="2:13" s="15" customFormat="1"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</row>
    <row r="878" spans="2:13" s="15" customFormat="1"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</row>
    <row r="879" spans="2:13" s="15" customFormat="1"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</row>
    <row r="880" spans="2:13" s="15" customFormat="1"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</row>
    <row r="881" spans="2:13" s="15" customFormat="1"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</row>
    <row r="882" spans="2:13" s="15" customFormat="1"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</row>
    <row r="883" spans="2:13" s="15" customFormat="1"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</row>
    <row r="884" spans="2:13" s="15" customFormat="1"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</row>
    <row r="885" spans="2:13" s="15" customFormat="1"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</row>
    <row r="886" spans="2:13" s="15" customFormat="1"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</row>
    <row r="887" spans="2:13" s="15" customFormat="1"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</row>
    <row r="888" spans="2:13" s="15" customFormat="1"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</row>
    <row r="889" spans="2:13" s="15" customFormat="1"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</row>
    <row r="890" spans="2:13" s="15" customFormat="1"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</row>
    <row r="891" spans="2:13" s="15" customFormat="1"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</row>
    <row r="892" spans="2:13" s="15" customFormat="1"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</row>
    <row r="893" spans="2:13" s="15" customFormat="1"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</row>
    <row r="894" spans="2:13" s="15" customFormat="1"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</row>
    <row r="895" spans="2:13" s="15" customFormat="1"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</row>
    <row r="896" spans="2:13" s="15" customFormat="1"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</row>
    <row r="897" spans="2:13" s="15" customFormat="1"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</row>
    <row r="898" spans="2:13" s="15" customFormat="1"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</row>
    <row r="899" spans="2:13" s="15" customFormat="1"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</row>
    <row r="900" spans="2:13" s="15" customFormat="1"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</row>
    <row r="901" spans="2:13" s="15" customFormat="1"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</row>
    <row r="902" spans="2:13" s="15" customFormat="1">
      <c r="B902" s="56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</row>
    <row r="903" spans="2:13" s="15" customFormat="1">
      <c r="B903" s="56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</row>
    <row r="904" spans="2:13" s="15" customFormat="1">
      <c r="B904" s="56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</row>
    <row r="905" spans="2:13" s="15" customFormat="1">
      <c r="B905" s="56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</row>
    <row r="906" spans="2:13" s="15" customFormat="1">
      <c r="B906" s="56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</row>
    <row r="907" spans="2:13" s="15" customFormat="1">
      <c r="B907" s="56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</row>
    <row r="908" spans="2:13" s="15" customFormat="1">
      <c r="B908" s="56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</row>
    <row r="909" spans="2:13" s="15" customFormat="1">
      <c r="B909" s="56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</row>
    <row r="910" spans="2:13" s="15" customFormat="1">
      <c r="B910" s="56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</row>
    <row r="911" spans="2:13" s="15" customFormat="1">
      <c r="B911" s="56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</row>
    <row r="912" spans="2:13" s="15" customFormat="1">
      <c r="B912" s="56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</row>
    <row r="913" spans="2:13" s="15" customFormat="1">
      <c r="B913" s="56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</row>
    <row r="914" spans="2:13" s="15" customFormat="1">
      <c r="B914" s="56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</row>
    <row r="915" spans="2:13" s="15" customFormat="1">
      <c r="B915" s="56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</row>
    <row r="916" spans="2:13" s="15" customFormat="1">
      <c r="B916" s="56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</row>
    <row r="917" spans="2:13" s="15" customFormat="1">
      <c r="B917" s="56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</row>
    <row r="918" spans="2:13" s="15" customFormat="1">
      <c r="B918" s="56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</row>
    <row r="919" spans="2:13" s="15" customFormat="1">
      <c r="B919" s="56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</row>
    <row r="920" spans="2:13" s="15" customFormat="1">
      <c r="B920" s="56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</row>
    <row r="921" spans="2:13" s="15" customFormat="1">
      <c r="B921" s="56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</row>
    <row r="922" spans="2:13" s="15" customFormat="1">
      <c r="B922" s="56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</row>
    <row r="923" spans="2:13" s="15" customFormat="1">
      <c r="B923" s="56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</row>
    <row r="924" spans="2:13" s="15" customFormat="1">
      <c r="B924" s="56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</row>
    <row r="925" spans="2:13" s="15" customFormat="1">
      <c r="B925" s="56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</row>
    <row r="926" spans="2:13" s="15" customFormat="1">
      <c r="B926" s="56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</row>
    <row r="927" spans="2:13" s="15" customFormat="1">
      <c r="B927" s="56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</row>
    <row r="928" spans="2:13" s="15" customFormat="1">
      <c r="B928" s="56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</row>
    <row r="929" spans="2:13" s="15" customFormat="1">
      <c r="B929" s="56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</row>
    <row r="930" spans="2:13" s="15" customFormat="1">
      <c r="B930" s="56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</row>
    <row r="931" spans="2:13" s="15" customFormat="1">
      <c r="B931" s="56"/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M931" s="56"/>
    </row>
    <row r="932" spans="2:13" s="15" customFormat="1">
      <c r="B932" s="56"/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M932" s="56"/>
    </row>
    <row r="933" spans="2:13" s="15" customFormat="1">
      <c r="B933" s="56"/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M933" s="56"/>
    </row>
    <row r="934" spans="2:13" s="15" customFormat="1">
      <c r="B934" s="56"/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M934" s="56"/>
    </row>
    <row r="935" spans="2:13" s="15" customFormat="1">
      <c r="B935" s="56"/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M935" s="56"/>
    </row>
    <row r="936" spans="2:13" s="15" customFormat="1">
      <c r="B936" s="56"/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M936" s="56"/>
    </row>
    <row r="937" spans="2:13" s="15" customFormat="1">
      <c r="B937" s="56"/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M937" s="56"/>
    </row>
    <row r="938" spans="2:13" s="15" customFormat="1">
      <c r="B938" s="56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56"/>
    </row>
    <row r="939" spans="2:13" s="15" customFormat="1">
      <c r="B939" s="56"/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M939" s="56"/>
    </row>
    <row r="940" spans="2:13" s="15" customFormat="1">
      <c r="B940" s="56"/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M940" s="56"/>
    </row>
    <row r="941" spans="2:13" s="15" customFormat="1">
      <c r="B941" s="56"/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M941" s="56"/>
    </row>
    <row r="942" spans="2:13" s="15" customFormat="1">
      <c r="B942" s="56"/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M942" s="56"/>
    </row>
    <row r="943" spans="2:13" s="15" customFormat="1">
      <c r="B943" s="56"/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M943" s="56"/>
    </row>
    <row r="944" spans="2:13" s="15" customFormat="1">
      <c r="B944" s="56"/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M944" s="56"/>
    </row>
    <row r="945" spans="2:13" s="15" customFormat="1">
      <c r="B945" s="56"/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M945" s="56"/>
    </row>
    <row r="946" spans="2:13" s="15" customFormat="1">
      <c r="B946" s="56"/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M946" s="56"/>
    </row>
    <row r="947" spans="2:13" s="15" customFormat="1">
      <c r="B947" s="56"/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M947" s="56"/>
    </row>
    <row r="948" spans="2:13" s="15" customFormat="1">
      <c r="B948" s="56"/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M948" s="56"/>
    </row>
    <row r="949" spans="2:13" s="15" customFormat="1">
      <c r="B949" s="56"/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M949" s="56"/>
    </row>
    <row r="950" spans="2:13" s="15" customFormat="1">
      <c r="B950" s="56"/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M950" s="56"/>
    </row>
    <row r="951" spans="2:13" s="15" customFormat="1">
      <c r="B951" s="56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56"/>
    </row>
    <row r="952" spans="2:13" s="15" customFormat="1">
      <c r="B952" s="56"/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M952" s="56"/>
    </row>
    <row r="953" spans="2:13" s="15" customFormat="1">
      <c r="B953" s="56"/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M953" s="56"/>
    </row>
    <row r="954" spans="2:13" s="15" customFormat="1">
      <c r="B954" s="56"/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M954" s="56"/>
    </row>
    <row r="955" spans="2:13" s="15" customFormat="1">
      <c r="B955" s="56"/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</row>
    <row r="956" spans="2:13" s="15" customFormat="1">
      <c r="B956" s="56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</row>
    <row r="957" spans="2:13" s="15" customFormat="1">
      <c r="B957" s="56"/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M957" s="56"/>
    </row>
    <row r="958" spans="2:13" s="15" customFormat="1">
      <c r="B958" s="56"/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M958" s="56"/>
    </row>
    <row r="959" spans="2:13" s="15" customFormat="1">
      <c r="B959" s="56"/>
      <c r="C959" s="56"/>
      <c r="D959" s="56"/>
      <c r="E959" s="56"/>
      <c r="F959" s="56"/>
      <c r="G959" s="56"/>
      <c r="H959" s="56"/>
      <c r="I959" s="56"/>
      <c r="J959" s="56"/>
      <c r="K959" s="56"/>
      <c r="L959" s="56"/>
      <c r="M959" s="56"/>
    </row>
    <row r="960" spans="2:13" s="15" customFormat="1">
      <c r="B960" s="56"/>
      <c r="C960" s="56"/>
      <c r="D960" s="56"/>
      <c r="E960" s="56"/>
      <c r="F960" s="56"/>
      <c r="G960" s="56"/>
      <c r="H960" s="56"/>
      <c r="I960" s="56"/>
      <c r="J960" s="56"/>
      <c r="K960" s="56"/>
      <c r="L960" s="56"/>
      <c r="M960" s="56"/>
    </row>
    <row r="961" spans="2:13" s="15" customFormat="1">
      <c r="B961" s="56"/>
      <c r="C961" s="56"/>
      <c r="D961" s="56"/>
      <c r="E961" s="56"/>
      <c r="F961" s="56"/>
      <c r="G961" s="56"/>
      <c r="H961" s="56"/>
      <c r="I961" s="56"/>
      <c r="J961" s="56"/>
      <c r="K961" s="56"/>
      <c r="L961" s="56"/>
      <c r="M961" s="56"/>
    </row>
    <row r="962" spans="2:13" s="15" customFormat="1">
      <c r="B962" s="56"/>
      <c r="C962" s="56"/>
      <c r="D962" s="56"/>
      <c r="E962" s="56"/>
      <c r="F962" s="56"/>
      <c r="G962" s="56"/>
      <c r="H962" s="56"/>
      <c r="I962" s="56"/>
      <c r="J962" s="56"/>
      <c r="K962" s="56"/>
      <c r="L962" s="56"/>
      <c r="M962" s="56"/>
    </row>
    <row r="963" spans="2:13" s="15" customFormat="1">
      <c r="B963" s="56"/>
      <c r="C963" s="56"/>
      <c r="D963" s="56"/>
      <c r="E963" s="56"/>
      <c r="F963" s="56"/>
      <c r="G963" s="56"/>
      <c r="H963" s="56"/>
      <c r="I963" s="56"/>
      <c r="J963" s="56"/>
      <c r="K963" s="56"/>
      <c r="L963" s="56"/>
      <c r="M963" s="56"/>
    </row>
    <row r="964" spans="2:13" s="15" customFormat="1">
      <c r="B964" s="56"/>
      <c r="C964" s="56"/>
      <c r="D964" s="56"/>
      <c r="E964" s="56"/>
      <c r="F964" s="56"/>
      <c r="G964" s="56"/>
      <c r="H964" s="56"/>
      <c r="I964" s="56"/>
      <c r="J964" s="56"/>
      <c r="K964" s="56"/>
      <c r="L964" s="56"/>
      <c r="M964" s="56"/>
    </row>
    <row r="965" spans="2:13" s="15" customFormat="1">
      <c r="B965" s="56"/>
      <c r="C965" s="56"/>
      <c r="D965" s="56"/>
      <c r="E965" s="56"/>
      <c r="F965" s="56"/>
      <c r="G965" s="56"/>
      <c r="H965" s="56"/>
      <c r="I965" s="56"/>
      <c r="J965" s="56"/>
      <c r="K965" s="56"/>
      <c r="L965" s="56"/>
      <c r="M965" s="56"/>
    </row>
    <row r="966" spans="2:13" s="15" customFormat="1">
      <c r="B966" s="56"/>
      <c r="C966" s="56"/>
      <c r="D966" s="56"/>
      <c r="E966" s="56"/>
      <c r="F966" s="56"/>
      <c r="G966" s="56"/>
      <c r="H966" s="56"/>
      <c r="I966" s="56"/>
      <c r="J966" s="56"/>
      <c r="K966" s="56"/>
      <c r="L966" s="56"/>
      <c r="M966" s="56"/>
    </row>
    <row r="967" spans="2:13" s="15" customFormat="1">
      <c r="B967" s="56"/>
      <c r="C967" s="56"/>
      <c r="D967" s="56"/>
      <c r="E967" s="56"/>
      <c r="F967" s="56"/>
      <c r="G967" s="56"/>
      <c r="H967" s="56"/>
      <c r="I967" s="56"/>
      <c r="J967" s="56"/>
      <c r="K967" s="56"/>
      <c r="L967" s="56"/>
      <c r="M967" s="56"/>
    </row>
    <row r="968" spans="2:13" s="15" customFormat="1">
      <c r="B968" s="56"/>
      <c r="C968" s="56"/>
      <c r="D968" s="56"/>
      <c r="E968" s="56"/>
      <c r="F968" s="56"/>
      <c r="G968" s="56"/>
      <c r="H968" s="56"/>
      <c r="I968" s="56"/>
      <c r="J968" s="56"/>
      <c r="K968" s="56"/>
      <c r="L968" s="56"/>
      <c r="M968" s="56"/>
    </row>
    <row r="969" spans="2:13" s="15" customFormat="1">
      <c r="B969" s="56"/>
      <c r="C969" s="56"/>
      <c r="D969" s="56"/>
      <c r="E969" s="56"/>
      <c r="F969" s="56"/>
      <c r="G969" s="56"/>
      <c r="H969" s="56"/>
      <c r="I969" s="56"/>
      <c r="J969" s="56"/>
      <c r="K969" s="56"/>
      <c r="L969" s="56"/>
      <c r="M969" s="56"/>
    </row>
    <row r="970" spans="2:13" s="15" customFormat="1">
      <c r="B970" s="56"/>
      <c r="C970" s="56"/>
      <c r="D970" s="56"/>
      <c r="E970" s="56"/>
      <c r="F970" s="56"/>
      <c r="G970" s="56"/>
      <c r="H970" s="56"/>
      <c r="I970" s="56"/>
      <c r="J970" s="56"/>
      <c r="K970" s="56"/>
      <c r="L970" s="56"/>
      <c r="M970" s="56"/>
    </row>
    <row r="971" spans="2:13" s="15" customFormat="1">
      <c r="B971" s="56"/>
      <c r="C971" s="56"/>
      <c r="D971" s="56"/>
      <c r="E971" s="56"/>
      <c r="F971" s="56"/>
      <c r="G971" s="56"/>
      <c r="H971" s="56"/>
      <c r="I971" s="56"/>
      <c r="J971" s="56"/>
      <c r="K971" s="56"/>
      <c r="L971" s="56"/>
      <c r="M971" s="56"/>
    </row>
    <row r="972" spans="2:13" s="15" customFormat="1">
      <c r="B972" s="56"/>
      <c r="C972" s="56"/>
      <c r="D972" s="56"/>
      <c r="E972" s="56"/>
      <c r="F972" s="56"/>
      <c r="G972" s="56"/>
      <c r="H972" s="56"/>
      <c r="I972" s="56"/>
      <c r="J972" s="56"/>
      <c r="K972" s="56"/>
      <c r="L972" s="56"/>
      <c r="M972" s="56"/>
    </row>
    <row r="973" spans="2:13" s="15" customFormat="1">
      <c r="B973" s="56"/>
      <c r="C973" s="56"/>
      <c r="D973" s="56"/>
      <c r="E973" s="56"/>
      <c r="F973" s="56"/>
      <c r="G973" s="56"/>
      <c r="H973" s="56"/>
      <c r="I973" s="56"/>
      <c r="J973" s="56"/>
      <c r="K973" s="56"/>
      <c r="L973" s="56"/>
      <c r="M973" s="56"/>
    </row>
    <row r="974" spans="2:13" s="15" customFormat="1">
      <c r="B974" s="56"/>
      <c r="C974" s="56"/>
      <c r="D974" s="56"/>
      <c r="E974" s="56"/>
      <c r="F974" s="56"/>
      <c r="G974" s="56"/>
      <c r="H974" s="56"/>
      <c r="I974" s="56"/>
      <c r="J974" s="56"/>
      <c r="K974" s="56"/>
      <c r="L974" s="56"/>
      <c r="M974" s="56"/>
    </row>
    <row r="975" spans="2:13" s="15" customFormat="1">
      <c r="B975" s="56"/>
      <c r="C975" s="56"/>
      <c r="D975" s="56"/>
      <c r="E975" s="56"/>
      <c r="F975" s="56"/>
      <c r="G975" s="56"/>
      <c r="H975" s="56"/>
      <c r="I975" s="56"/>
      <c r="J975" s="56"/>
      <c r="K975" s="56"/>
      <c r="L975" s="56"/>
      <c r="M975" s="56"/>
    </row>
    <row r="976" spans="2:13" s="15" customFormat="1">
      <c r="B976" s="56"/>
      <c r="C976" s="56"/>
      <c r="D976" s="56"/>
      <c r="E976" s="56"/>
      <c r="F976" s="56"/>
      <c r="G976" s="56"/>
      <c r="H976" s="56"/>
      <c r="I976" s="56"/>
      <c r="J976" s="56"/>
      <c r="K976" s="56"/>
      <c r="L976" s="56"/>
      <c r="M976" s="56"/>
    </row>
    <row r="977" spans="2:13" s="15" customFormat="1">
      <c r="B977" s="56"/>
      <c r="C977" s="56"/>
      <c r="D977" s="56"/>
      <c r="E977" s="56"/>
      <c r="F977" s="56"/>
      <c r="G977" s="56"/>
      <c r="H977" s="56"/>
      <c r="I977" s="56"/>
      <c r="J977" s="56"/>
      <c r="K977" s="56"/>
      <c r="L977" s="56"/>
      <c r="M977" s="56"/>
    </row>
    <row r="978" spans="2:13" s="15" customFormat="1">
      <c r="B978" s="56"/>
      <c r="C978" s="56"/>
      <c r="D978" s="56"/>
      <c r="E978" s="56"/>
      <c r="F978" s="56"/>
      <c r="G978" s="56"/>
      <c r="H978" s="56"/>
      <c r="I978" s="56"/>
      <c r="J978" s="56"/>
      <c r="K978" s="56"/>
      <c r="L978" s="56"/>
      <c r="M978" s="56"/>
    </row>
    <row r="979" spans="2:13" s="15" customFormat="1">
      <c r="B979" s="56"/>
      <c r="C979" s="56"/>
      <c r="D979" s="56"/>
      <c r="E979" s="56"/>
      <c r="F979" s="56"/>
      <c r="G979" s="56"/>
      <c r="H979" s="56"/>
      <c r="I979" s="56"/>
      <c r="J979" s="56"/>
      <c r="K979" s="56"/>
      <c r="L979" s="56"/>
      <c r="M979" s="56"/>
    </row>
    <row r="980" spans="2:13" s="15" customFormat="1">
      <c r="B980" s="56"/>
      <c r="C980" s="56"/>
      <c r="D980" s="56"/>
      <c r="E980" s="56"/>
      <c r="F980" s="56"/>
      <c r="G980" s="56"/>
      <c r="H980" s="56"/>
      <c r="I980" s="56"/>
      <c r="J980" s="56"/>
      <c r="K980" s="56"/>
      <c r="L980" s="56"/>
      <c r="M980" s="56"/>
    </row>
    <row r="981" spans="2:13" s="15" customFormat="1">
      <c r="B981" s="56"/>
      <c r="C981" s="56"/>
      <c r="D981" s="56"/>
      <c r="E981" s="56"/>
      <c r="F981" s="56"/>
      <c r="G981" s="56"/>
      <c r="H981" s="56"/>
      <c r="I981" s="56"/>
      <c r="J981" s="56"/>
      <c r="K981" s="56"/>
      <c r="L981" s="56"/>
      <c r="M981" s="56"/>
    </row>
    <row r="982" spans="2:13" s="15" customFormat="1">
      <c r="B982" s="56"/>
      <c r="C982" s="56"/>
      <c r="D982" s="56"/>
      <c r="E982" s="56"/>
      <c r="F982" s="56"/>
      <c r="G982" s="56"/>
      <c r="H982" s="56"/>
      <c r="I982" s="56"/>
      <c r="J982" s="56"/>
      <c r="K982" s="56"/>
      <c r="L982" s="56"/>
      <c r="M982" s="56"/>
    </row>
    <row r="983" spans="2:13" s="15" customFormat="1">
      <c r="B983" s="56"/>
      <c r="C983" s="56"/>
      <c r="D983" s="56"/>
      <c r="E983" s="56"/>
      <c r="F983" s="56"/>
      <c r="G983" s="56"/>
      <c r="H983" s="56"/>
      <c r="I983" s="56"/>
      <c r="J983" s="56"/>
      <c r="K983" s="56"/>
      <c r="L983" s="56"/>
      <c r="M983" s="56"/>
    </row>
    <row r="984" spans="2:13" s="15" customFormat="1">
      <c r="B984" s="56"/>
      <c r="C984" s="56"/>
      <c r="D984" s="56"/>
      <c r="E984" s="56"/>
      <c r="F984" s="56"/>
      <c r="G984" s="56"/>
      <c r="H984" s="56"/>
      <c r="I984" s="56"/>
      <c r="J984" s="56"/>
      <c r="K984" s="56"/>
      <c r="L984" s="56"/>
      <c r="M984" s="56"/>
    </row>
    <row r="985" spans="2:13" s="15" customFormat="1">
      <c r="B985" s="56"/>
      <c r="C985" s="56"/>
      <c r="D985" s="56"/>
      <c r="E985" s="56"/>
      <c r="F985" s="56"/>
      <c r="G985" s="56"/>
      <c r="H985" s="56"/>
      <c r="I985" s="56"/>
      <c r="J985" s="56"/>
      <c r="K985" s="56"/>
      <c r="L985" s="56"/>
      <c r="M985" s="56"/>
    </row>
    <row r="986" spans="2:13" s="15" customFormat="1">
      <c r="B986" s="56"/>
      <c r="C986" s="56"/>
      <c r="D986" s="56"/>
      <c r="E986" s="56"/>
      <c r="F986" s="56"/>
      <c r="G986" s="56"/>
      <c r="H986" s="56"/>
      <c r="I986" s="56"/>
      <c r="J986" s="56"/>
      <c r="K986" s="56"/>
      <c r="L986" s="56"/>
      <c r="M986" s="56"/>
    </row>
    <row r="987" spans="2:13" s="15" customFormat="1">
      <c r="B987" s="56"/>
      <c r="C987" s="56"/>
      <c r="D987" s="56"/>
      <c r="E987" s="56"/>
      <c r="F987" s="56"/>
      <c r="G987" s="56"/>
      <c r="H987" s="56"/>
      <c r="I987" s="56"/>
      <c r="J987" s="56"/>
      <c r="K987" s="56"/>
      <c r="L987" s="56"/>
      <c r="M987" s="56"/>
    </row>
    <row r="988" spans="2:13" s="15" customFormat="1">
      <c r="B988" s="56"/>
      <c r="C988" s="56"/>
      <c r="D988" s="56"/>
      <c r="E988" s="56"/>
      <c r="F988" s="56"/>
      <c r="G988" s="56"/>
      <c r="H988" s="56"/>
      <c r="I988" s="56"/>
      <c r="J988" s="56"/>
      <c r="K988" s="56"/>
      <c r="L988" s="56"/>
      <c r="M988" s="56"/>
    </row>
    <row r="989" spans="2:13" s="15" customFormat="1">
      <c r="B989" s="56"/>
      <c r="C989" s="56"/>
      <c r="D989" s="56"/>
      <c r="E989" s="56"/>
      <c r="F989" s="56"/>
      <c r="G989" s="56"/>
      <c r="H989" s="56"/>
      <c r="I989" s="56"/>
      <c r="J989" s="56"/>
      <c r="K989" s="56"/>
      <c r="L989" s="56"/>
      <c r="M989" s="56"/>
    </row>
    <row r="990" spans="2:13" s="15" customFormat="1">
      <c r="B990" s="56"/>
      <c r="C990" s="56"/>
      <c r="D990" s="56"/>
      <c r="E990" s="56"/>
      <c r="F990" s="56"/>
      <c r="G990" s="56"/>
      <c r="H990" s="56"/>
      <c r="I990" s="56"/>
      <c r="J990" s="56"/>
      <c r="K990" s="56"/>
      <c r="L990" s="56"/>
      <c r="M990" s="56"/>
    </row>
    <row r="991" spans="2:13" s="15" customFormat="1">
      <c r="B991" s="56"/>
      <c r="C991" s="56"/>
      <c r="D991" s="56"/>
      <c r="E991" s="56"/>
      <c r="F991" s="56"/>
      <c r="G991" s="56"/>
      <c r="H991" s="56"/>
      <c r="I991" s="56"/>
      <c r="J991" s="56"/>
      <c r="K991" s="56"/>
      <c r="L991" s="56"/>
      <c r="M991" s="56"/>
    </row>
    <row r="992" spans="2:13" s="15" customFormat="1">
      <c r="B992" s="56"/>
      <c r="C992" s="56"/>
      <c r="D992" s="56"/>
      <c r="E992" s="56"/>
      <c r="F992" s="56"/>
      <c r="G992" s="56"/>
      <c r="H992" s="56"/>
      <c r="I992" s="56"/>
      <c r="J992" s="56"/>
      <c r="K992" s="56"/>
      <c r="L992" s="56"/>
      <c r="M992" s="56"/>
    </row>
    <row r="993" spans="2:13" s="15" customFormat="1">
      <c r="B993" s="56"/>
      <c r="C993" s="56"/>
      <c r="D993" s="56"/>
      <c r="E993" s="56"/>
      <c r="F993" s="56"/>
      <c r="G993" s="56"/>
      <c r="H993" s="56"/>
      <c r="I993" s="56"/>
      <c r="J993" s="56"/>
      <c r="K993" s="56"/>
      <c r="L993" s="56"/>
      <c r="M993" s="56"/>
    </row>
    <row r="994" spans="2:13" s="15" customFormat="1">
      <c r="B994" s="56"/>
      <c r="C994" s="56"/>
      <c r="D994" s="56"/>
      <c r="E994" s="56"/>
      <c r="F994" s="56"/>
      <c r="G994" s="56"/>
      <c r="H994" s="56"/>
      <c r="I994" s="56"/>
      <c r="J994" s="56"/>
      <c r="K994" s="56"/>
      <c r="L994" s="56"/>
      <c r="M994" s="56"/>
    </row>
    <row r="995" spans="2:13" s="15" customFormat="1">
      <c r="B995" s="56"/>
      <c r="C995" s="56"/>
      <c r="D995" s="56"/>
      <c r="E995" s="56"/>
      <c r="F995" s="56"/>
      <c r="G995" s="56"/>
      <c r="H995" s="56"/>
      <c r="I995" s="56"/>
      <c r="J995" s="56"/>
      <c r="K995" s="56"/>
      <c r="L995" s="56"/>
      <c r="M995" s="56"/>
    </row>
    <row r="996" spans="2:13" s="15" customFormat="1">
      <c r="B996" s="56"/>
      <c r="C996" s="56"/>
      <c r="D996" s="56"/>
      <c r="E996" s="56"/>
      <c r="F996" s="56"/>
      <c r="G996" s="56"/>
      <c r="H996" s="56"/>
      <c r="I996" s="56"/>
      <c r="J996" s="56"/>
      <c r="K996" s="56"/>
      <c r="L996" s="56"/>
      <c r="M996" s="56"/>
    </row>
    <row r="997" spans="2:13" s="15" customFormat="1">
      <c r="B997" s="56"/>
      <c r="C997" s="56"/>
      <c r="D997" s="56"/>
      <c r="E997" s="56"/>
      <c r="F997" s="56"/>
      <c r="G997" s="56"/>
      <c r="H997" s="56"/>
      <c r="I997" s="56"/>
      <c r="J997" s="56"/>
      <c r="K997" s="56"/>
      <c r="L997" s="56"/>
      <c r="M997" s="56"/>
    </row>
    <row r="998" spans="2:13" s="15" customFormat="1">
      <c r="B998" s="56"/>
      <c r="C998" s="56"/>
      <c r="D998" s="56"/>
      <c r="E998" s="56"/>
      <c r="F998" s="56"/>
      <c r="G998" s="56"/>
      <c r="H998" s="56"/>
      <c r="I998" s="56"/>
      <c r="J998" s="56"/>
      <c r="K998" s="56"/>
      <c r="L998" s="56"/>
      <c r="M998" s="56"/>
    </row>
    <row r="999" spans="2:13" s="15" customFormat="1">
      <c r="B999" s="56"/>
      <c r="C999" s="56"/>
      <c r="D999" s="56"/>
      <c r="E999" s="56"/>
      <c r="F999" s="56"/>
      <c r="G999" s="56"/>
      <c r="H999" s="56"/>
      <c r="I999" s="56"/>
      <c r="J999" s="56"/>
      <c r="K999" s="56"/>
      <c r="L999" s="56"/>
      <c r="M999" s="56"/>
    </row>
    <row r="1000" spans="2:13" s="15" customFormat="1">
      <c r="B1000" s="56"/>
      <c r="C1000" s="56"/>
      <c r="D1000" s="56"/>
      <c r="E1000" s="56"/>
      <c r="F1000" s="56"/>
      <c r="G1000" s="56"/>
      <c r="H1000" s="56"/>
      <c r="I1000" s="56"/>
      <c r="J1000" s="56"/>
      <c r="K1000" s="56"/>
      <c r="L1000" s="56"/>
      <c r="M1000" s="56"/>
    </row>
    <row r="1001" spans="2:13" s="15" customFormat="1">
      <c r="B1001" s="56"/>
      <c r="C1001" s="56"/>
      <c r="D1001" s="56"/>
      <c r="E1001" s="56"/>
      <c r="F1001" s="56"/>
      <c r="G1001" s="56"/>
      <c r="H1001" s="56"/>
      <c r="I1001" s="56"/>
      <c r="J1001" s="56"/>
      <c r="K1001" s="56"/>
      <c r="L1001" s="56"/>
      <c r="M1001" s="56"/>
    </row>
    <row r="1002" spans="2:13" s="15" customFormat="1">
      <c r="B1002" s="56"/>
      <c r="C1002" s="56"/>
      <c r="D1002" s="56"/>
      <c r="E1002" s="56"/>
      <c r="F1002" s="56"/>
      <c r="G1002" s="56"/>
      <c r="H1002" s="56"/>
      <c r="I1002" s="56"/>
      <c r="J1002" s="56"/>
      <c r="K1002" s="56"/>
      <c r="L1002" s="56"/>
      <c r="M1002" s="56"/>
    </row>
    <row r="1003" spans="2:13" s="15" customFormat="1">
      <c r="B1003" s="56"/>
      <c r="C1003" s="56"/>
      <c r="D1003" s="56"/>
      <c r="E1003" s="56"/>
      <c r="F1003" s="56"/>
      <c r="G1003" s="56"/>
      <c r="H1003" s="56"/>
      <c r="I1003" s="56"/>
      <c r="J1003" s="56"/>
      <c r="K1003" s="56"/>
      <c r="L1003" s="56"/>
      <c r="M1003" s="56"/>
    </row>
    <row r="1004" spans="2:13" s="15" customFormat="1">
      <c r="B1004" s="56"/>
      <c r="C1004" s="56"/>
      <c r="D1004" s="56"/>
      <c r="E1004" s="56"/>
      <c r="F1004" s="56"/>
      <c r="G1004" s="56"/>
      <c r="H1004" s="56"/>
      <c r="I1004" s="56"/>
      <c r="J1004" s="56"/>
      <c r="K1004" s="56"/>
      <c r="L1004" s="56"/>
      <c r="M1004" s="56"/>
    </row>
    <row r="1005" spans="2:13" s="15" customFormat="1">
      <c r="B1005" s="56"/>
      <c r="C1005" s="56"/>
      <c r="D1005" s="56"/>
      <c r="E1005" s="56"/>
      <c r="F1005" s="56"/>
      <c r="G1005" s="56"/>
      <c r="H1005" s="56"/>
      <c r="I1005" s="56"/>
      <c r="J1005" s="56"/>
      <c r="K1005" s="56"/>
      <c r="L1005" s="56"/>
      <c r="M1005" s="56"/>
    </row>
    <row r="1006" spans="2:13" s="15" customFormat="1">
      <c r="B1006" s="56"/>
      <c r="C1006" s="56"/>
      <c r="D1006" s="56"/>
      <c r="E1006" s="56"/>
      <c r="F1006" s="56"/>
      <c r="G1006" s="56"/>
      <c r="H1006" s="56"/>
      <c r="I1006" s="56"/>
      <c r="J1006" s="56"/>
      <c r="K1006" s="56"/>
      <c r="L1006" s="56"/>
      <c r="M1006" s="56"/>
    </row>
    <row r="1007" spans="2:13" s="15" customFormat="1">
      <c r="B1007" s="56"/>
      <c r="C1007" s="56"/>
      <c r="D1007" s="56"/>
      <c r="E1007" s="56"/>
      <c r="F1007" s="56"/>
      <c r="G1007" s="56"/>
      <c r="H1007" s="56"/>
      <c r="I1007" s="56"/>
      <c r="J1007" s="56"/>
      <c r="K1007" s="56"/>
      <c r="L1007" s="56"/>
      <c r="M1007" s="56"/>
    </row>
    <row r="1008" spans="2:13" s="15" customFormat="1">
      <c r="B1008" s="56"/>
      <c r="C1008" s="56"/>
      <c r="D1008" s="56"/>
      <c r="E1008" s="56"/>
      <c r="F1008" s="56"/>
      <c r="G1008" s="56"/>
      <c r="H1008" s="56"/>
      <c r="I1008" s="56"/>
      <c r="J1008" s="56"/>
      <c r="K1008" s="56"/>
      <c r="L1008" s="56"/>
      <c r="M1008" s="56"/>
    </row>
    <row r="1009" spans="2:13" s="15" customFormat="1">
      <c r="B1009" s="56"/>
      <c r="C1009" s="56"/>
      <c r="D1009" s="56"/>
      <c r="E1009" s="56"/>
      <c r="F1009" s="56"/>
      <c r="G1009" s="56"/>
      <c r="H1009" s="56"/>
      <c r="I1009" s="56"/>
      <c r="J1009" s="56"/>
      <c r="K1009" s="56"/>
      <c r="L1009" s="56"/>
      <c r="M1009" s="56"/>
    </row>
    <row r="1010" spans="2:13" s="15" customFormat="1">
      <c r="B1010" s="56"/>
      <c r="C1010" s="56"/>
      <c r="D1010" s="56"/>
      <c r="E1010" s="56"/>
      <c r="F1010" s="56"/>
      <c r="G1010" s="56"/>
      <c r="H1010" s="56"/>
      <c r="I1010" s="56"/>
      <c r="J1010" s="56"/>
      <c r="K1010" s="56"/>
      <c r="L1010" s="56"/>
      <c r="M1010" s="56"/>
    </row>
    <row r="1011" spans="2:13" s="15" customFormat="1">
      <c r="B1011" s="56"/>
      <c r="C1011" s="56"/>
      <c r="D1011" s="56"/>
      <c r="E1011" s="56"/>
      <c r="F1011" s="56"/>
      <c r="G1011" s="56"/>
      <c r="H1011" s="56"/>
      <c r="I1011" s="56"/>
      <c r="J1011" s="56"/>
      <c r="K1011" s="56"/>
      <c r="L1011" s="56"/>
      <c r="M1011" s="56"/>
    </row>
    <row r="1012" spans="2:13" s="15" customFormat="1">
      <c r="B1012" s="56"/>
      <c r="C1012" s="56"/>
      <c r="D1012" s="56"/>
      <c r="E1012" s="56"/>
      <c r="F1012" s="56"/>
      <c r="G1012" s="56"/>
      <c r="H1012" s="56"/>
      <c r="I1012" s="56"/>
      <c r="J1012" s="56"/>
      <c r="K1012" s="56"/>
      <c r="L1012" s="56"/>
      <c r="M1012" s="56"/>
    </row>
    <row r="1013" spans="2:13" s="15" customFormat="1">
      <c r="B1013" s="56"/>
      <c r="C1013" s="56"/>
      <c r="D1013" s="56"/>
      <c r="E1013" s="56"/>
      <c r="F1013" s="56"/>
      <c r="G1013" s="56"/>
      <c r="H1013" s="56"/>
      <c r="I1013" s="56"/>
      <c r="J1013" s="56"/>
      <c r="K1013" s="56"/>
      <c r="L1013" s="56"/>
      <c r="M1013" s="56"/>
    </row>
    <row r="1014" spans="2:13" s="15" customFormat="1">
      <c r="B1014" s="56"/>
      <c r="C1014" s="56"/>
      <c r="D1014" s="56"/>
      <c r="E1014" s="56"/>
      <c r="F1014" s="56"/>
      <c r="G1014" s="56"/>
      <c r="H1014" s="56"/>
      <c r="I1014" s="56"/>
      <c r="J1014" s="56"/>
      <c r="K1014" s="56"/>
      <c r="L1014" s="56"/>
      <c r="M1014" s="56"/>
    </row>
    <row r="1015" spans="2:13" s="15" customFormat="1">
      <c r="B1015" s="56"/>
      <c r="C1015" s="56"/>
      <c r="D1015" s="56"/>
      <c r="E1015" s="56"/>
      <c r="F1015" s="56"/>
      <c r="G1015" s="56"/>
      <c r="H1015" s="56"/>
      <c r="I1015" s="56"/>
      <c r="J1015" s="56"/>
      <c r="K1015" s="56"/>
      <c r="L1015" s="56"/>
      <c r="M1015" s="56"/>
    </row>
    <row r="1016" spans="2:13" s="15" customFormat="1">
      <c r="B1016" s="56"/>
      <c r="C1016" s="56"/>
      <c r="D1016" s="56"/>
      <c r="E1016" s="56"/>
      <c r="F1016" s="56"/>
      <c r="G1016" s="56"/>
      <c r="H1016" s="56"/>
      <c r="I1016" s="56"/>
      <c r="J1016" s="56"/>
      <c r="K1016" s="56"/>
      <c r="L1016" s="56"/>
      <c r="M1016" s="56"/>
    </row>
    <row r="1017" spans="2:13" s="15" customFormat="1">
      <c r="B1017" s="56"/>
      <c r="C1017" s="56"/>
      <c r="D1017" s="56"/>
      <c r="E1017" s="56"/>
      <c r="F1017" s="56"/>
      <c r="G1017" s="56"/>
      <c r="H1017" s="56"/>
      <c r="I1017" s="56"/>
      <c r="J1017" s="56"/>
      <c r="K1017" s="56"/>
      <c r="L1017" s="56"/>
      <c r="M1017" s="56"/>
    </row>
    <row r="1018" spans="2:13" s="15" customFormat="1">
      <c r="B1018" s="56"/>
      <c r="C1018" s="56"/>
      <c r="D1018" s="56"/>
      <c r="E1018" s="56"/>
      <c r="F1018" s="56"/>
      <c r="G1018" s="56"/>
      <c r="H1018" s="56"/>
      <c r="I1018" s="56"/>
      <c r="J1018" s="56"/>
      <c r="K1018" s="56"/>
      <c r="L1018" s="56"/>
      <c r="M1018" s="56"/>
    </row>
    <row r="1019" spans="2:13" s="15" customFormat="1">
      <c r="B1019" s="56"/>
      <c r="C1019" s="56"/>
      <c r="D1019" s="56"/>
      <c r="E1019" s="56"/>
      <c r="F1019" s="56"/>
      <c r="G1019" s="56"/>
      <c r="H1019" s="56"/>
      <c r="I1019" s="56"/>
      <c r="J1019" s="56"/>
      <c r="K1019" s="56"/>
      <c r="L1019" s="56"/>
      <c r="M1019" s="56"/>
    </row>
    <row r="1020" spans="2:13" s="15" customFormat="1">
      <c r="B1020" s="56"/>
      <c r="C1020" s="56"/>
      <c r="D1020" s="56"/>
      <c r="E1020" s="56"/>
      <c r="F1020" s="56"/>
      <c r="G1020" s="56"/>
      <c r="H1020" s="56"/>
      <c r="I1020" s="56"/>
      <c r="J1020" s="56"/>
      <c r="K1020" s="56"/>
      <c r="L1020" s="56"/>
      <c r="M1020" s="56"/>
    </row>
    <row r="1021" spans="2:13" s="15" customFormat="1">
      <c r="B1021" s="56"/>
      <c r="C1021" s="56"/>
      <c r="D1021" s="56"/>
      <c r="E1021" s="56"/>
      <c r="F1021" s="56"/>
      <c r="G1021" s="56"/>
      <c r="H1021" s="56"/>
      <c r="I1021" s="56"/>
      <c r="J1021" s="56"/>
      <c r="K1021" s="56"/>
      <c r="L1021" s="56"/>
      <c r="M1021" s="56"/>
    </row>
    <row r="1022" spans="2:13" s="15" customFormat="1">
      <c r="B1022" s="56"/>
      <c r="C1022" s="56"/>
      <c r="D1022" s="56"/>
      <c r="E1022" s="56"/>
      <c r="F1022" s="56"/>
      <c r="G1022" s="56"/>
      <c r="H1022" s="56"/>
      <c r="I1022" s="56"/>
      <c r="J1022" s="56"/>
      <c r="K1022" s="56"/>
      <c r="L1022" s="56"/>
      <c r="M1022" s="56"/>
    </row>
    <row r="1023" spans="2:13" s="15" customFormat="1">
      <c r="B1023" s="56"/>
      <c r="C1023" s="56"/>
      <c r="D1023" s="56"/>
      <c r="E1023" s="56"/>
      <c r="F1023" s="56"/>
      <c r="G1023" s="56"/>
      <c r="H1023" s="56"/>
      <c r="I1023" s="56"/>
      <c r="J1023" s="56"/>
      <c r="K1023" s="56"/>
      <c r="L1023" s="56"/>
      <c r="M1023" s="56"/>
    </row>
    <row r="1024" spans="2:13" s="15" customFormat="1">
      <c r="B1024" s="56"/>
      <c r="C1024" s="56"/>
      <c r="D1024" s="56"/>
      <c r="E1024" s="56"/>
      <c r="F1024" s="56"/>
      <c r="G1024" s="56"/>
      <c r="H1024" s="56"/>
      <c r="I1024" s="56"/>
      <c r="J1024" s="56"/>
      <c r="K1024" s="56"/>
      <c r="L1024" s="56"/>
      <c r="M1024" s="56"/>
    </row>
    <row r="1025" spans="2:13" s="15" customFormat="1">
      <c r="B1025" s="56"/>
      <c r="C1025" s="56"/>
      <c r="D1025" s="56"/>
      <c r="E1025" s="56"/>
      <c r="F1025" s="56"/>
      <c r="G1025" s="56"/>
      <c r="H1025" s="56"/>
      <c r="I1025" s="56"/>
      <c r="J1025" s="56"/>
      <c r="K1025" s="56"/>
      <c r="L1025" s="56"/>
      <c r="M1025" s="56"/>
    </row>
    <row r="1026" spans="2:13" s="15" customFormat="1">
      <c r="B1026" s="56"/>
      <c r="C1026" s="56"/>
      <c r="D1026" s="56"/>
      <c r="E1026" s="56"/>
      <c r="F1026" s="56"/>
      <c r="G1026" s="56"/>
      <c r="H1026" s="56"/>
      <c r="I1026" s="56"/>
      <c r="J1026" s="56"/>
      <c r="K1026" s="56"/>
      <c r="L1026" s="56"/>
      <c r="M1026" s="56"/>
    </row>
    <row r="1027" spans="2:13" s="15" customFormat="1">
      <c r="B1027" s="56"/>
      <c r="C1027" s="56"/>
      <c r="D1027" s="56"/>
      <c r="E1027" s="56"/>
      <c r="F1027" s="56"/>
      <c r="G1027" s="56"/>
      <c r="H1027" s="56"/>
      <c r="I1027" s="56"/>
      <c r="J1027" s="56"/>
      <c r="K1027" s="56"/>
      <c r="L1027" s="56"/>
      <c r="M1027" s="56"/>
    </row>
    <row r="1028" spans="2:13" s="15" customFormat="1">
      <c r="B1028" s="56"/>
      <c r="C1028" s="56"/>
      <c r="D1028" s="56"/>
      <c r="E1028" s="56"/>
      <c r="F1028" s="56"/>
      <c r="G1028" s="56"/>
      <c r="H1028" s="56"/>
      <c r="I1028" s="56"/>
      <c r="J1028" s="56"/>
      <c r="K1028" s="56"/>
      <c r="L1028" s="56"/>
      <c r="M1028" s="56"/>
    </row>
    <row r="1029" spans="2:13" s="15" customFormat="1">
      <c r="B1029" s="56"/>
      <c r="C1029" s="56"/>
      <c r="D1029" s="56"/>
      <c r="E1029" s="56"/>
      <c r="F1029" s="56"/>
      <c r="G1029" s="56"/>
      <c r="H1029" s="56"/>
      <c r="I1029" s="56"/>
      <c r="J1029" s="56"/>
      <c r="K1029" s="56"/>
      <c r="L1029" s="56"/>
      <c r="M1029" s="56"/>
    </row>
    <row r="1030" spans="2:13" s="15" customFormat="1">
      <c r="B1030" s="56"/>
      <c r="C1030" s="56"/>
      <c r="D1030" s="56"/>
      <c r="E1030" s="56"/>
      <c r="F1030" s="56"/>
      <c r="G1030" s="56"/>
      <c r="H1030" s="56"/>
      <c r="I1030" s="56"/>
      <c r="J1030" s="56"/>
      <c r="K1030" s="56"/>
      <c r="L1030" s="56"/>
      <c r="M1030" s="56"/>
    </row>
    <row r="1031" spans="2:13" s="15" customFormat="1">
      <c r="B1031" s="56"/>
      <c r="C1031" s="56"/>
      <c r="D1031" s="56"/>
      <c r="E1031" s="56"/>
      <c r="F1031" s="56"/>
      <c r="G1031" s="56"/>
      <c r="H1031" s="56"/>
      <c r="I1031" s="56"/>
      <c r="J1031" s="56"/>
      <c r="K1031" s="56"/>
      <c r="L1031" s="56"/>
      <c r="M1031" s="56"/>
    </row>
    <row r="1032" spans="2:13" s="15" customFormat="1">
      <c r="B1032" s="56"/>
      <c r="C1032" s="56"/>
      <c r="D1032" s="56"/>
      <c r="E1032" s="56"/>
      <c r="F1032" s="56"/>
      <c r="G1032" s="56"/>
      <c r="H1032" s="56"/>
      <c r="I1032" s="56"/>
      <c r="J1032" s="56"/>
      <c r="K1032" s="56"/>
      <c r="L1032" s="56"/>
      <c r="M1032" s="56"/>
    </row>
    <row r="1033" spans="2:13" s="15" customFormat="1">
      <c r="B1033" s="56"/>
      <c r="C1033" s="56"/>
      <c r="D1033" s="56"/>
      <c r="E1033" s="56"/>
      <c r="F1033" s="56"/>
      <c r="G1033" s="56"/>
      <c r="H1033" s="56"/>
      <c r="I1033" s="56"/>
      <c r="J1033" s="56"/>
      <c r="K1033" s="56"/>
      <c r="L1033" s="56"/>
      <c r="M1033" s="56"/>
    </row>
    <row r="1034" spans="2:13" s="15" customFormat="1">
      <c r="B1034" s="56"/>
      <c r="C1034" s="56"/>
      <c r="D1034" s="56"/>
      <c r="E1034" s="56"/>
      <c r="F1034" s="56"/>
      <c r="G1034" s="56"/>
      <c r="H1034" s="56"/>
      <c r="I1034" s="56"/>
      <c r="J1034" s="56"/>
      <c r="K1034" s="56"/>
      <c r="L1034" s="56"/>
      <c r="M1034" s="56"/>
    </row>
    <row r="1035" spans="2:13" s="15" customFormat="1">
      <c r="B1035" s="56"/>
      <c r="C1035" s="56"/>
      <c r="D1035" s="56"/>
      <c r="E1035" s="56"/>
      <c r="F1035" s="56"/>
      <c r="G1035" s="56"/>
      <c r="H1035" s="56"/>
      <c r="I1035" s="56"/>
      <c r="J1035" s="56"/>
      <c r="K1035" s="56"/>
      <c r="L1035" s="56"/>
      <c r="M1035" s="56"/>
    </row>
    <row r="1036" spans="2:13" s="15" customFormat="1">
      <c r="B1036" s="56"/>
      <c r="C1036" s="56"/>
      <c r="D1036" s="56"/>
      <c r="E1036" s="56"/>
      <c r="F1036" s="56"/>
      <c r="G1036" s="56"/>
      <c r="H1036" s="56"/>
      <c r="I1036" s="56"/>
      <c r="J1036" s="56"/>
      <c r="K1036" s="56"/>
      <c r="L1036" s="56"/>
      <c r="M1036" s="56"/>
    </row>
    <row r="1037" spans="2:13" s="15" customFormat="1">
      <c r="B1037" s="56"/>
      <c r="C1037" s="56"/>
      <c r="D1037" s="56"/>
      <c r="E1037" s="56"/>
      <c r="F1037" s="56"/>
      <c r="G1037" s="56"/>
      <c r="H1037" s="56"/>
      <c r="I1037" s="56"/>
      <c r="J1037" s="56"/>
      <c r="K1037" s="56"/>
      <c r="L1037" s="56"/>
      <c r="M1037" s="56"/>
    </row>
    <row r="1038" spans="2:13" s="15" customFormat="1">
      <c r="B1038" s="56"/>
      <c r="C1038" s="56"/>
      <c r="D1038" s="56"/>
      <c r="E1038" s="56"/>
      <c r="F1038" s="56"/>
      <c r="G1038" s="56"/>
      <c r="H1038" s="56"/>
      <c r="I1038" s="56"/>
      <c r="J1038" s="56"/>
      <c r="K1038" s="56"/>
      <c r="L1038" s="56"/>
      <c r="M1038" s="56"/>
    </row>
    <row r="1039" spans="2:13" s="15" customFormat="1">
      <c r="B1039" s="56"/>
      <c r="C1039" s="56"/>
      <c r="D1039" s="56"/>
      <c r="E1039" s="56"/>
      <c r="F1039" s="56"/>
      <c r="G1039" s="56"/>
      <c r="H1039" s="56"/>
      <c r="I1039" s="56"/>
      <c r="J1039" s="56"/>
      <c r="K1039" s="56"/>
      <c r="L1039" s="56"/>
      <c r="M1039" s="56"/>
    </row>
    <row r="1040" spans="2:13" s="15" customFormat="1">
      <c r="B1040" s="56"/>
      <c r="C1040" s="56"/>
      <c r="D1040" s="56"/>
      <c r="E1040" s="56"/>
      <c r="F1040" s="56"/>
      <c r="G1040" s="56"/>
      <c r="H1040" s="56"/>
      <c r="I1040" s="56"/>
      <c r="J1040" s="56"/>
      <c r="K1040" s="56"/>
      <c r="L1040" s="56"/>
      <c r="M1040" s="56"/>
    </row>
    <row r="1041" spans="2:13" s="15" customFormat="1">
      <c r="B1041" s="56"/>
      <c r="C1041" s="56"/>
      <c r="D1041" s="56"/>
      <c r="E1041" s="56"/>
      <c r="F1041" s="56"/>
      <c r="G1041" s="56"/>
      <c r="H1041" s="56"/>
      <c r="I1041" s="56"/>
      <c r="J1041" s="56"/>
      <c r="K1041" s="56"/>
      <c r="L1041" s="56"/>
      <c r="M1041" s="56"/>
    </row>
    <row r="1042" spans="2:13" s="15" customFormat="1">
      <c r="B1042" s="56"/>
      <c r="C1042" s="56"/>
      <c r="D1042" s="56"/>
      <c r="E1042" s="56"/>
      <c r="F1042" s="56"/>
      <c r="G1042" s="56"/>
      <c r="H1042" s="56"/>
      <c r="I1042" s="56"/>
      <c r="J1042" s="56"/>
      <c r="K1042" s="56"/>
      <c r="L1042" s="56"/>
      <c r="M1042" s="56"/>
    </row>
    <row r="1043" spans="2:13" s="15" customFormat="1">
      <c r="B1043" s="56"/>
      <c r="C1043" s="56"/>
      <c r="D1043" s="56"/>
      <c r="E1043" s="56"/>
      <c r="F1043" s="56"/>
      <c r="G1043" s="56"/>
      <c r="H1043" s="56"/>
      <c r="I1043" s="56"/>
      <c r="J1043" s="56"/>
      <c r="K1043" s="56"/>
      <c r="L1043" s="56"/>
      <c r="M1043" s="56"/>
    </row>
    <row r="1044" spans="2:13" s="15" customFormat="1">
      <c r="B1044" s="56"/>
      <c r="C1044" s="56"/>
      <c r="D1044" s="56"/>
      <c r="E1044" s="56"/>
      <c r="F1044" s="56"/>
      <c r="G1044" s="56"/>
      <c r="H1044" s="56"/>
      <c r="I1044" s="56"/>
      <c r="J1044" s="56"/>
      <c r="K1044" s="56"/>
      <c r="L1044" s="56"/>
      <c r="M1044" s="56"/>
    </row>
    <row r="1045" spans="2:13" s="15" customFormat="1">
      <c r="B1045" s="56"/>
      <c r="C1045" s="56"/>
      <c r="D1045" s="56"/>
      <c r="E1045" s="56"/>
      <c r="F1045" s="56"/>
      <c r="G1045" s="56"/>
      <c r="H1045" s="56"/>
      <c r="I1045" s="56"/>
      <c r="J1045" s="56"/>
      <c r="K1045" s="56"/>
      <c r="L1045" s="56"/>
      <c r="M1045" s="56"/>
    </row>
    <row r="1046" spans="2:13" s="15" customFormat="1">
      <c r="B1046" s="56"/>
      <c r="C1046" s="56"/>
      <c r="D1046" s="56"/>
      <c r="E1046" s="56"/>
      <c r="F1046" s="56"/>
      <c r="G1046" s="56"/>
      <c r="H1046" s="56"/>
      <c r="I1046" s="56"/>
      <c r="J1046" s="56"/>
      <c r="K1046" s="56"/>
      <c r="L1046" s="56"/>
      <c r="M1046" s="56"/>
    </row>
    <row r="1047" spans="2:13" s="15" customFormat="1">
      <c r="B1047" s="56"/>
      <c r="C1047" s="56"/>
      <c r="D1047" s="56"/>
      <c r="E1047" s="56"/>
      <c r="F1047" s="56"/>
      <c r="G1047" s="56"/>
      <c r="H1047" s="56"/>
      <c r="I1047" s="56"/>
      <c r="J1047" s="56"/>
      <c r="K1047" s="56"/>
      <c r="L1047" s="56"/>
      <c r="M1047" s="56"/>
    </row>
    <row r="1048" spans="2:13" s="15" customFormat="1">
      <c r="B1048" s="56"/>
      <c r="C1048" s="56"/>
      <c r="D1048" s="56"/>
      <c r="E1048" s="56"/>
      <c r="F1048" s="56"/>
      <c r="G1048" s="56"/>
      <c r="H1048" s="56"/>
      <c r="I1048" s="56"/>
      <c r="J1048" s="56"/>
      <c r="K1048" s="56"/>
      <c r="L1048" s="56"/>
      <c r="M1048" s="56"/>
    </row>
    <row r="1049" spans="2:13" s="15" customFormat="1">
      <c r="B1049" s="56"/>
      <c r="C1049" s="56"/>
      <c r="D1049" s="56"/>
      <c r="E1049" s="56"/>
      <c r="F1049" s="56"/>
      <c r="G1049" s="56"/>
      <c r="H1049" s="56"/>
      <c r="I1049" s="56"/>
      <c r="J1049" s="56"/>
      <c r="K1049" s="56"/>
      <c r="L1049" s="56"/>
      <c r="M1049" s="56"/>
    </row>
    <row r="1050" spans="2:13" s="15" customFormat="1">
      <c r="B1050" s="56"/>
      <c r="C1050" s="56"/>
      <c r="D1050" s="56"/>
      <c r="E1050" s="56"/>
      <c r="F1050" s="56"/>
      <c r="G1050" s="56"/>
      <c r="H1050" s="56"/>
      <c r="I1050" s="56"/>
      <c r="J1050" s="56"/>
      <c r="K1050" s="56"/>
      <c r="L1050" s="56"/>
      <c r="M1050" s="56"/>
    </row>
    <row r="1051" spans="2:13" s="15" customFormat="1">
      <c r="B1051" s="56"/>
      <c r="C1051" s="56"/>
      <c r="D1051" s="56"/>
      <c r="E1051" s="56"/>
      <c r="F1051" s="56"/>
      <c r="G1051" s="56"/>
      <c r="H1051" s="56"/>
      <c r="I1051" s="56"/>
      <c r="J1051" s="56"/>
      <c r="K1051" s="56"/>
      <c r="L1051" s="56"/>
      <c r="M1051" s="56"/>
    </row>
    <row r="1052" spans="2:13" s="15" customFormat="1">
      <c r="B1052" s="56"/>
      <c r="C1052" s="56"/>
      <c r="D1052" s="56"/>
      <c r="E1052" s="56"/>
      <c r="F1052" s="56"/>
      <c r="G1052" s="56"/>
      <c r="H1052" s="56"/>
      <c r="I1052" s="56"/>
      <c r="J1052" s="56"/>
      <c r="K1052" s="56"/>
      <c r="L1052" s="56"/>
      <c r="M1052" s="56"/>
    </row>
    <row r="1053" spans="2:13" s="15" customFormat="1">
      <c r="B1053" s="56"/>
      <c r="C1053" s="56"/>
      <c r="D1053" s="56"/>
      <c r="E1053" s="56"/>
      <c r="F1053" s="56"/>
      <c r="G1053" s="56"/>
      <c r="H1053" s="56"/>
      <c r="I1053" s="56"/>
      <c r="J1053" s="56"/>
      <c r="K1053" s="56"/>
      <c r="L1053" s="56"/>
      <c r="M1053" s="56"/>
    </row>
    <row r="1054" spans="2:13" s="15" customFormat="1">
      <c r="B1054" s="56"/>
      <c r="C1054" s="56"/>
      <c r="D1054" s="56"/>
      <c r="E1054" s="56"/>
      <c r="F1054" s="56"/>
      <c r="G1054" s="56"/>
      <c r="H1054" s="56"/>
      <c r="I1054" s="56"/>
      <c r="J1054" s="56"/>
      <c r="K1054" s="56"/>
      <c r="L1054" s="56"/>
      <c r="M1054" s="56"/>
    </row>
    <row r="1055" spans="2:13" s="15" customFormat="1">
      <c r="B1055" s="56"/>
      <c r="C1055" s="56"/>
      <c r="D1055" s="56"/>
      <c r="E1055" s="56"/>
      <c r="F1055" s="56"/>
      <c r="G1055" s="56"/>
      <c r="H1055" s="56"/>
      <c r="I1055" s="56"/>
      <c r="J1055" s="56"/>
      <c r="K1055" s="56"/>
      <c r="L1055" s="56"/>
      <c r="M1055" s="56"/>
    </row>
    <row r="1056" spans="2:13" s="15" customFormat="1">
      <c r="B1056" s="56"/>
      <c r="C1056" s="56"/>
      <c r="D1056" s="56"/>
      <c r="E1056" s="56"/>
      <c r="F1056" s="56"/>
      <c r="G1056" s="56"/>
      <c r="H1056" s="56"/>
      <c r="I1056" s="56"/>
      <c r="J1056" s="56"/>
      <c r="K1056" s="56"/>
      <c r="L1056" s="56"/>
      <c r="M1056" s="56"/>
    </row>
    <row r="1057" spans="2:13" s="15" customFormat="1">
      <c r="B1057" s="56"/>
      <c r="C1057" s="56"/>
      <c r="D1057" s="56"/>
      <c r="E1057" s="56"/>
      <c r="F1057" s="56"/>
      <c r="G1057" s="56"/>
      <c r="H1057" s="56"/>
      <c r="I1057" s="56"/>
      <c r="J1057" s="56"/>
      <c r="K1057" s="56"/>
      <c r="L1057" s="56"/>
      <c r="M1057" s="56"/>
    </row>
    <row r="1058" spans="2:13" s="15" customFormat="1">
      <c r="B1058" s="56"/>
      <c r="C1058" s="56"/>
      <c r="D1058" s="56"/>
      <c r="E1058" s="56"/>
      <c r="F1058" s="56"/>
      <c r="G1058" s="56"/>
      <c r="H1058" s="56"/>
      <c r="I1058" s="56"/>
      <c r="J1058" s="56"/>
      <c r="K1058" s="56"/>
      <c r="L1058" s="56"/>
      <c r="M1058" s="56"/>
    </row>
    <row r="1059" spans="2:13" s="15" customFormat="1">
      <c r="B1059" s="56"/>
      <c r="C1059" s="56"/>
      <c r="D1059" s="56"/>
      <c r="E1059" s="56"/>
      <c r="F1059" s="56"/>
      <c r="G1059" s="56"/>
      <c r="H1059" s="56"/>
      <c r="I1059" s="56"/>
      <c r="J1059" s="56"/>
      <c r="K1059" s="56"/>
      <c r="L1059" s="56"/>
      <c r="M1059" s="56"/>
    </row>
    <row r="1060" spans="2:13" s="15" customFormat="1">
      <c r="B1060" s="56"/>
      <c r="C1060" s="56"/>
      <c r="D1060" s="56"/>
      <c r="E1060" s="56"/>
      <c r="F1060" s="56"/>
      <c r="G1060" s="56"/>
      <c r="H1060" s="56"/>
      <c r="I1060" s="56"/>
      <c r="J1060" s="56"/>
      <c r="K1060" s="56"/>
      <c r="L1060" s="56"/>
      <c r="M1060" s="56"/>
    </row>
    <row r="1061" spans="2:13" s="15" customFormat="1">
      <c r="B1061" s="56"/>
      <c r="C1061" s="56"/>
      <c r="D1061" s="56"/>
      <c r="E1061" s="56"/>
      <c r="F1061" s="56"/>
      <c r="G1061" s="56"/>
      <c r="H1061" s="56"/>
      <c r="I1061" s="56"/>
      <c r="J1061" s="56"/>
      <c r="K1061" s="56"/>
      <c r="L1061" s="56"/>
      <c r="M1061" s="56"/>
    </row>
    <row r="1062" spans="2:13" s="15" customFormat="1">
      <c r="B1062" s="56"/>
      <c r="C1062" s="56"/>
      <c r="D1062" s="56"/>
      <c r="E1062" s="56"/>
      <c r="F1062" s="56"/>
      <c r="G1062" s="56"/>
      <c r="H1062" s="56"/>
      <c r="I1062" s="56"/>
      <c r="J1062" s="56"/>
      <c r="K1062" s="56"/>
      <c r="L1062" s="56"/>
      <c r="M1062" s="56"/>
    </row>
    <row r="1063" spans="2:13" s="15" customFormat="1">
      <c r="B1063" s="56"/>
      <c r="C1063" s="56"/>
      <c r="D1063" s="56"/>
      <c r="E1063" s="56"/>
      <c r="F1063" s="56"/>
      <c r="G1063" s="56"/>
      <c r="H1063" s="56"/>
      <c r="I1063" s="56"/>
      <c r="J1063" s="56"/>
      <c r="K1063" s="56"/>
      <c r="L1063" s="56"/>
      <c r="M1063" s="56"/>
    </row>
    <row r="1064" spans="2:13" s="15" customFormat="1">
      <c r="B1064" s="56"/>
      <c r="C1064" s="56"/>
      <c r="D1064" s="56"/>
      <c r="E1064" s="56"/>
      <c r="F1064" s="56"/>
      <c r="G1064" s="56"/>
      <c r="H1064" s="56"/>
      <c r="I1064" s="56"/>
      <c r="J1064" s="56"/>
      <c r="K1064" s="56"/>
      <c r="L1064" s="56"/>
      <c r="M1064" s="56"/>
    </row>
    <row r="1065" spans="2:13" s="15" customFormat="1">
      <c r="B1065" s="56"/>
      <c r="C1065" s="56"/>
      <c r="D1065" s="56"/>
      <c r="E1065" s="56"/>
      <c r="F1065" s="56"/>
      <c r="G1065" s="56"/>
      <c r="H1065" s="56"/>
      <c r="I1065" s="56"/>
      <c r="J1065" s="56"/>
      <c r="K1065" s="56"/>
      <c r="L1065" s="56"/>
      <c r="M1065" s="56"/>
    </row>
    <row r="1066" spans="2:13" s="15" customFormat="1">
      <c r="B1066" s="56"/>
      <c r="C1066" s="56"/>
      <c r="D1066" s="56"/>
      <c r="E1066" s="56"/>
      <c r="F1066" s="56"/>
      <c r="G1066" s="56"/>
      <c r="H1066" s="56"/>
      <c r="I1066" s="56"/>
      <c r="J1066" s="56"/>
      <c r="K1066" s="56"/>
      <c r="L1066" s="56"/>
      <c r="M1066" s="56"/>
    </row>
    <row r="1067" spans="2:13" s="15" customFormat="1">
      <c r="B1067" s="56"/>
      <c r="C1067" s="56"/>
      <c r="D1067" s="56"/>
      <c r="E1067" s="56"/>
      <c r="F1067" s="56"/>
      <c r="G1067" s="56"/>
      <c r="H1067" s="56"/>
      <c r="I1067" s="56"/>
      <c r="J1067" s="56"/>
      <c r="K1067" s="56"/>
      <c r="L1067" s="56"/>
      <c r="M1067" s="56"/>
    </row>
    <row r="1068" spans="2:13" s="15" customFormat="1">
      <c r="B1068" s="56"/>
      <c r="C1068" s="56"/>
      <c r="D1068" s="56"/>
      <c r="E1068" s="56"/>
      <c r="F1068" s="56"/>
      <c r="G1068" s="56"/>
      <c r="H1068" s="56"/>
      <c r="I1068" s="56"/>
      <c r="J1068" s="56"/>
      <c r="K1068" s="56"/>
      <c r="L1068" s="56"/>
      <c r="M1068" s="56"/>
    </row>
    <row r="1069" spans="2:13" s="15" customFormat="1">
      <c r="B1069" s="56"/>
      <c r="C1069" s="56"/>
      <c r="D1069" s="56"/>
      <c r="E1069" s="56"/>
      <c r="F1069" s="56"/>
      <c r="G1069" s="56"/>
      <c r="H1069" s="56"/>
      <c r="I1069" s="56"/>
      <c r="J1069" s="56"/>
      <c r="K1069" s="56"/>
      <c r="L1069" s="56"/>
      <c r="M1069" s="56"/>
    </row>
    <row r="1070" spans="2:13" s="15" customFormat="1">
      <c r="B1070" s="56"/>
      <c r="C1070" s="56"/>
      <c r="D1070" s="56"/>
      <c r="E1070" s="56"/>
      <c r="F1070" s="56"/>
      <c r="G1070" s="56"/>
      <c r="H1070" s="56"/>
      <c r="I1070" s="56"/>
      <c r="J1070" s="56"/>
      <c r="K1070" s="56"/>
      <c r="L1070" s="56"/>
      <c r="M1070" s="56"/>
    </row>
    <row r="1071" spans="2:13" s="15" customFormat="1">
      <c r="B1071" s="56"/>
      <c r="C1071" s="56"/>
      <c r="D1071" s="56"/>
      <c r="E1071" s="56"/>
      <c r="F1071" s="56"/>
      <c r="G1071" s="56"/>
      <c r="H1071" s="56"/>
      <c r="I1071" s="56"/>
      <c r="J1071" s="56"/>
      <c r="K1071" s="56"/>
      <c r="L1071" s="56"/>
      <c r="M1071" s="56"/>
    </row>
    <row r="1072" spans="2:13" s="15" customFormat="1">
      <c r="B1072" s="56"/>
      <c r="C1072" s="56"/>
      <c r="D1072" s="56"/>
      <c r="E1072" s="56"/>
      <c r="F1072" s="56"/>
      <c r="G1072" s="56"/>
      <c r="H1072" s="56"/>
      <c r="I1072" s="56"/>
      <c r="J1072" s="56"/>
      <c r="K1072" s="56"/>
      <c r="L1072" s="56"/>
      <c r="M1072" s="56"/>
    </row>
    <row r="1073" spans="2:13" s="15" customFormat="1">
      <c r="B1073" s="56"/>
      <c r="C1073" s="56"/>
      <c r="D1073" s="56"/>
      <c r="E1073" s="56"/>
      <c r="F1073" s="56"/>
      <c r="G1073" s="56"/>
      <c r="H1073" s="56"/>
      <c r="I1073" s="56"/>
      <c r="J1073" s="56"/>
      <c r="K1073" s="56"/>
      <c r="L1073" s="56"/>
      <c r="M1073" s="56"/>
    </row>
    <row r="1074" spans="2:13" s="15" customFormat="1">
      <c r="B1074" s="56"/>
      <c r="C1074" s="56"/>
      <c r="D1074" s="56"/>
      <c r="E1074" s="56"/>
      <c r="F1074" s="56"/>
      <c r="G1074" s="56"/>
      <c r="H1074" s="56"/>
      <c r="I1074" s="56"/>
      <c r="J1074" s="56"/>
      <c r="K1074" s="56"/>
      <c r="L1074" s="56"/>
      <c r="M1074" s="56"/>
    </row>
    <row r="1075" spans="2:13" s="15" customFormat="1">
      <c r="B1075" s="56"/>
      <c r="C1075" s="56"/>
      <c r="D1075" s="56"/>
      <c r="E1075" s="56"/>
      <c r="F1075" s="56"/>
      <c r="G1075" s="56"/>
      <c r="H1075" s="56"/>
      <c r="I1075" s="56"/>
      <c r="J1075" s="56"/>
      <c r="K1075" s="56"/>
      <c r="L1075" s="56"/>
      <c r="M1075" s="56"/>
    </row>
    <row r="1076" spans="2:13" s="15" customFormat="1">
      <c r="B1076" s="56"/>
      <c r="C1076" s="56"/>
      <c r="D1076" s="56"/>
      <c r="E1076" s="56"/>
      <c r="F1076" s="56"/>
      <c r="G1076" s="56"/>
      <c r="H1076" s="56"/>
      <c r="I1076" s="56"/>
      <c r="J1076" s="56"/>
      <c r="K1076" s="56"/>
      <c r="L1076" s="56"/>
      <c r="M1076" s="56"/>
    </row>
    <row r="1077" spans="2:13" s="15" customFormat="1">
      <c r="B1077" s="56"/>
      <c r="C1077" s="56"/>
      <c r="D1077" s="56"/>
      <c r="E1077" s="56"/>
      <c r="F1077" s="56"/>
      <c r="G1077" s="56"/>
      <c r="H1077" s="56"/>
      <c r="I1077" s="56"/>
      <c r="J1077" s="56"/>
      <c r="K1077" s="56"/>
      <c r="L1077" s="56"/>
      <c r="M1077" s="56"/>
    </row>
    <row r="1078" spans="2:13" s="15" customFormat="1">
      <c r="B1078" s="56"/>
      <c r="C1078" s="56"/>
      <c r="D1078" s="56"/>
      <c r="E1078" s="56"/>
      <c r="F1078" s="56"/>
      <c r="G1078" s="56"/>
      <c r="H1078" s="56"/>
      <c r="I1078" s="56"/>
      <c r="J1078" s="56"/>
      <c r="K1078" s="56"/>
      <c r="L1078" s="56"/>
      <c r="M1078" s="56"/>
    </row>
    <row r="1079" spans="2:13" s="15" customFormat="1">
      <c r="B1079" s="56"/>
      <c r="C1079" s="56"/>
      <c r="D1079" s="56"/>
      <c r="E1079" s="56"/>
      <c r="F1079" s="56"/>
      <c r="G1079" s="56"/>
      <c r="H1079" s="56"/>
      <c r="I1079" s="56"/>
      <c r="J1079" s="56"/>
      <c r="K1079" s="56"/>
      <c r="L1079" s="56"/>
      <c r="M1079" s="56"/>
    </row>
    <row r="1080" spans="2:13" s="15" customFormat="1">
      <c r="B1080" s="56"/>
      <c r="C1080" s="56"/>
      <c r="D1080" s="56"/>
      <c r="E1080" s="56"/>
      <c r="F1080" s="56"/>
      <c r="G1080" s="56"/>
      <c r="H1080" s="56"/>
      <c r="I1080" s="56"/>
      <c r="J1080" s="56"/>
      <c r="K1080" s="56"/>
      <c r="L1080" s="56"/>
      <c r="M1080" s="56"/>
    </row>
    <row r="1081" spans="2:13" s="15" customFormat="1">
      <c r="B1081" s="56"/>
      <c r="C1081" s="56"/>
      <c r="D1081" s="56"/>
      <c r="E1081" s="56"/>
      <c r="F1081" s="56"/>
      <c r="G1081" s="56"/>
      <c r="H1081" s="56"/>
      <c r="I1081" s="56"/>
      <c r="J1081" s="56"/>
      <c r="K1081" s="56"/>
      <c r="L1081" s="56"/>
      <c r="M1081" s="56"/>
    </row>
    <row r="1082" spans="2:13" s="15" customFormat="1">
      <c r="B1082" s="56"/>
      <c r="C1082" s="56"/>
      <c r="D1082" s="56"/>
      <c r="E1082" s="56"/>
      <c r="F1082" s="56"/>
      <c r="G1082" s="56"/>
      <c r="H1082" s="56"/>
      <c r="I1082" s="56"/>
      <c r="J1082" s="56"/>
      <c r="K1082" s="56"/>
      <c r="L1082" s="56"/>
      <c r="M1082" s="56"/>
    </row>
    <row r="1083" spans="2:13" s="15" customFormat="1">
      <c r="B1083" s="56"/>
      <c r="C1083" s="56"/>
      <c r="D1083" s="56"/>
      <c r="E1083" s="56"/>
      <c r="F1083" s="56"/>
      <c r="G1083" s="56"/>
      <c r="H1083" s="56"/>
      <c r="I1083" s="56"/>
      <c r="J1083" s="56"/>
      <c r="K1083" s="56"/>
      <c r="L1083" s="56"/>
      <c r="M1083" s="56"/>
    </row>
    <row r="1084" spans="2:13" s="15" customFormat="1">
      <c r="B1084" s="56"/>
      <c r="C1084" s="56"/>
      <c r="D1084" s="56"/>
      <c r="E1084" s="56"/>
      <c r="F1084" s="56"/>
      <c r="G1084" s="56"/>
      <c r="H1084" s="56"/>
      <c r="I1084" s="56"/>
      <c r="J1084" s="56"/>
      <c r="K1084" s="56"/>
      <c r="L1084" s="56"/>
      <c r="M1084" s="56"/>
    </row>
    <row r="1085" spans="2:13" s="15" customFormat="1">
      <c r="B1085" s="56"/>
      <c r="C1085" s="56"/>
      <c r="D1085" s="56"/>
      <c r="E1085" s="56"/>
      <c r="F1085" s="56"/>
      <c r="G1085" s="56"/>
      <c r="H1085" s="56"/>
      <c r="I1085" s="56"/>
      <c r="J1085" s="56"/>
      <c r="K1085" s="56"/>
      <c r="L1085" s="56"/>
      <c r="M1085" s="56"/>
    </row>
    <row r="1086" spans="2:13" s="15" customFormat="1">
      <c r="B1086" s="56"/>
      <c r="C1086" s="56"/>
      <c r="D1086" s="56"/>
      <c r="E1086" s="56"/>
      <c r="F1086" s="56"/>
      <c r="G1086" s="56"/>
      <c r="H1086" s="56"/>
      <c r="I1086" s="56"/>
      <c r="J1086" s="56"/>
      <c r="K1086" s="56"/>
      <c r="L1086" s="56"/>
      <c r="M1086" s="56"/>
    </row>
    <row r="1087" spans="2:13" s="15" customFormat="1">
      <c r="B1087" s="56"/>
      <c r="C1087" s="56"/>
      <c r="D1087" s="56"/>
      <c r="E1087" s="56"/>
      <c r="F1087" s="56"/>
      <c r="G1087" s="56"/>
      <c r="H1087" s="56"/>
      <c r="I1087" s="56"/>
      <c r="J1087" s="56"/>
      <c r="K1087" s="56"/>
      <c r="L1087" s="56"/>
      <c r="M1087" s="56"/>
    </row>
    <row r="1088" spans="2:13" s="15" customFormat="1">
      <c r="B1088" s="56"/>
      <c r="C1088" s="56"/>
      <c r="D1088" s="56"/>
      <c r="E1088" s="56"/>
      <c r="F1088" s="56"/>
      <c r="G1088" s="56"/>
      <c r="H1088" s="56"/>
      <c r="I1088" s="56"/>
      <c r="J1088" s="56"/>
      <c r="K1088" s="56"/>
      <c r="L1088" s="56"/>
      <c r="M1088" s="56"/>
    </row>
    <row r="1089" spans="2:13" s="15" customFormat="1">
      <c r="B1089" s="56"/>
      <c r="C1089" s="56"/>
      <c r="D1089" s="56"/>
      <c r="E1089" s="56"/>
      <c r="F1089" s="56"/>
      <c r="G1089" s="56"/>
      <c r="H1089" s="56"/>
      <c r="I1089" s="56"/>
      <c r="J1089" s="56"/>
      <c r="K1089" s="56"/>
      <c r="L1089" s="56"/>
      <c r="M1089" s="56"/>
    </row>
    <row r="1090" spans="2:13" s="15" customFormat="1">
      <c r="B1090" s="56"/>
      <c r="C1090" s="56"/>
      <c r="D1090" s="56"/>
      <c r="E1090" s="56"/>
      <c r="F1090" s="56"/>
      <c r="G1090" s="56"/>
      <c r="H1090" s="56"/>
      <c r="I1090" s="56"/>
      <c r="J1090" s="56"/>
      <c r="K1090" s="56"/>
      <c r="L1090" s="56"/>
      <c r="M1090" s="56"/>
    </row>
    <row r="1091" spans="2:13" s="15" customFormat="1">
      <c r="B1091" s="56"/>
      <c r="C1091" s="56"/>
      <c r="D1091" s="56"/>
      <c r="E1091" s="56"/>
      <c r="F1091" s="56"/>
      <c r="G1091" s="56"/>
      <c r="H1091" s="56"/>
      <c r="I1091" s="56"/>
      <c r="J1091" s="56"/>
      <c r="K1091" s="56"/>
      <c r="L1091" s="56"/>
      <c r="M1091" s="56"/>
    </row>
    <row r="1092" spans="2:13" s="15" customFormat="1">
      <c r="B1092" s="56"/>
      <c r="C1092" s="56"/>
      <c r="D1092" s="56"/>
      <c r="E1092" s="56"/>
      <c r="F1092" s="56"/>
      <c r="G1092" s="56"/>
      <c r="H1092" s="56"/>
      <c r="I1092" s="56"/>
      <c r="J1092" s="56"/>
      <c r="K1092" s="56"/>
      <c r="L1092" s="56"/>
      <c r="M1092" s="56"/>
    </row>
    <row r="1093" spans="2:13" s="15" customFormat="1">
      <c r="B1093" s="56"/>
      <c r="C1093" s="56"/>
      <c r="D1093" s="56"/>
      <c r="E1093" s="56"/>
      <c r="F1093" s="56"/>
      <c r="G1093" s="56"/>
      <c r="H1093" s="56"/>
      <c r="I1093" s="56"/>
      <c r="J1093" s="56"/>
      <c r="K1093" s="56"/>
      <c r="L1093" s="56"/>
      <c r="M1093" s="56"/>
    </row>
    <row r="1094" spans="2:13" s="15" customFormat="1">
      <c r="B1094" s="56"/>
      <c r="C1094" s="56"/>
      <c r="D1094" s="56"/>
      <c r="E1094" s="56"/>
      <c r="F1094" s="56"/>
      <c r="G1094" s="56"/>
      <c r="H1094" s="56"/>
      <c r="I1094" s="56"/>
      <c r="J1094" s="56"/>
      <c r="K1094" s="56"/>
      <c r="L1094" s="56"/>
      <c r="M1094" s="56"/>
    </row>
    <row r="1095" spans="2:13" s="15" customFormat="1">
      <c r="B1095" s="56"/>
      <c r="C1095" s="56"/>
      <c r="D1095" s="56"/>
      <c r="E1095" s="56"/>
      <c r="F1095" s="56"/>
      <c r="G1095" s="56"/>
      <c r="H1095" s="56"/>
      <c r="I1095" s="56"/>
      <c r="J1095" s="56"/>
      <c r="K1095" s="56"/>
      <c r="L1095" s="56"/>
      <c r="M1095" s="56"/>
    </row>
    <row r="1096" spans="2:13" s="15" customFormat="1">
      <c r="B1096" s="56"/>
      <c r="C1096" s="56"/>
      <c r="D1096" s="56"/>
      <c r="E1096" s="56"/>
      <c r="F1096" s="56"/>
      <c r="G1096" s="56"/>
      <c r="H1096" s="56"/>
      <c r="I1096" s="56"/>
      <c r="J1096" s="56"/>
      <c r="K1096" s="56"/>
      <c r="L1096" s="56"/>
      <c r="M1096" s="56"/>
    </row>
    <row r="1097" spans="2:13" s="15" customFormat="1">
      <c r="B1097" s="56"/>
      <c r="C1097" s="56"/>
      <c r="D1097" s="56"/>
      <c r="E1097" s="56"/>
      <c r="F1097" s="56"/>
      <c r="G1097" s="56"/>
      <c r="H1097" s="56"/>
      <c r="I1097" s="56"/>
      <c r="J1097" s="56"/>
      <c r="K1097" s="56"/>
      <c r="L1097" s="56"/>
      <c r="M1097" s="56"/>
    </row>
    <row r="1098" spans="2:13" s="15" customFormat="1">
      <c r="B1098" s="56"/>
      <c r="C1098" s="56"/>
      <c r="D1098" s="56"/>
      <c r="E1098" s="56"/>
      <c r="F1098" s="56"/>
      <c r="G1098" s="56"/>
      <c r="H1098" s="56"/>
      <c r="I1098" s="56"/>
      <c r="J1098" s="56"/>
      <c r="K1098" s="56"/>
      <c r="L1098" s="56"/>
      <c r="M1098" s="56"/>
    </row>
    <row r="1099" spans="2:13" s="15" customFormat="1">
      <c r="B1099" s="56"/>
      <c r="C1099" s="56"/>
      <c r="D1099" s="56"/>
      <c r="E1099" s="56"/>
      <c r="F1099" s="56"/>
      <c r="G1099" s="56"/>
      <c r="H1099" s="56"/>
      <c r="I1099" s="56"/>
      <c r="J1099" s="56"/>
      <c r="K1099" s="56"/>
      <c r="L1099" s="56"/>
      <c r="M1099" s="56"/>
    </row>
    <row r="1100" spans="2:13" s="15" customFormat="1">
      <c r="B1100" s="56"/>
      <c r="C1100" s="56"/>
      <c r="D1100" s="56"/>
      <c r="E1100" s="56"/>
      <c r="F1100" s="56"/>
      <c r="G1100" s="56"/>
      <c r="H1100" s="56"/>
      <c r="I1100" s="56"/>
      <c r="J1100" s="56"/>
      <c r="K1100" s="56"/>
      <c r="L1100" s="56"/>
      <c r="M1100" s="56"/>
    </row>
    <row r="1101" spans="2:13" s="15" customFormat="1">
      <c r="B1101" s="56"/>
      <c r="C1101" s="56"/>
      <c r="D1101" s="56"/>
      <c r="E1101" s="56"/>
      <c r="F1101" s="56"/>
      <c r="G1101" s="56"/>
      <c r="H1101" s="56"/>
      <c r="I1101" s="56"/>
      <c r="J1101" s="56"/>
      <c r="K1101" s="56"/>
      <c r="L1101" s="56"/>
      <c r="M1101" s="56"/>
    </row>
    <row r="1102" spans="2:13" s="15" customFormat="1">
      <c r="B1102" s="56"/>
      <c r="C1102" s="56"/>
      <c r="D1102" s="56"/>
      <c r="E1102" s="56"/>
      <c r="F1102" s="56"/>
      <c r="G1102" s="56"/>
      <c r="H1102" s="56"/>
      <c r="I1102" s="56"/>
      <c r="J1102" s="56"/>
      <c r="K1102" s="56"/>
      <c r="L1102" s="56"/>
      <c r="M1102" s="56"/>
    </row>
    <row r="1103" spans="2:13" s="15" customFormat="1">
      <c r="B1103" s="56"/>
      <c r="C1103" s="56"/>
      <c r="D1103" s="56"/>
      <c r="E1103" s="56"/>
      <c r="F1103" s="56"/>
      <c r="G1103" s="56"/>
      <c r="H1103" s="56"/>
      <c r="I1103" s="56"/>
      <c r="J1103" s="56"/>
      <c r="K1103" s="56"/>
      <c r="L1103" s="56"/>
      <c r="M1103" s="56"/>
    </row>
    <row r="1104" spans="2:13" s="15" customFormat="1">
      <c r="B1104" s="56"/>
      <c r="C1104" s="56"/>
      <c r="D1104" s="56"/>
      <c r="E1104" s="56"/>
      <c r="F1104" s="56"/>
      <c r="G1104" s="56"/>
      <c r="H1104" s="56"/>
      <c r="I1104" s="56"/>
      <c r="J1104" s="56"/>
      <c r="K1104" s="56"/>
      <c r="L1104" s="56"/>
      <c r="M1104" s="56"/>
    </row>
    <row r="1105" spans="2:13" s="15" customFormat="1">
      <c r="B1105" s="56"/>
      <c r="C1105" s="56"/>
      <c r="D1105" s="56"/>
      <c r="E1105" s="56"/>
      <c r="F1105" s="56"/>
      <c r="G1105" s="56"/>
      <c r="H1105" s="56"/>
      <c r="I1105" s="56"/>
      <c r="J1105" s="56"/>
      <c r="K1105" s="56"/>
      <c r="L1105" s="56"/>
      <c r="M1105" s="56"/>
    </row>
    <row r="1106" spans="2:13" s="15" customFormat="1">
      <c r="B1106" s="56"/>
      <c r="C1106" s="56"/>
      <c r="D1106" s="56"/>
      <c r="E1106" s="56"/>
      <c r="F1106" s="56"/>
      <c r="G1106" s="56"/>
      <c r="H1106" s="56"/>
      <c r="I1106" s="56"/>
      <c r="J1106" s="56"/>
      <c r="K1106" s="56"/>
      <c r="L1106" s="56"/>
      <c r="M1106" s="56"/>
    </row>
    <row r="1107" spans="2:13" s="15" customFormat="1">
      <c r="B1107" s="56"/>
      <c r="C1107" s="56"/>
      <c r="D1107" s="56"/>
      <c r="E1107" s="56"/>
      <c r="F1107" s="56"/>
      <c r="G1107" s="56"/>
      <c r="H1107" s="56"/>
      <c r="I1107" s="56"/>
      <c r="J1107" s="56"/>
      <c r="K1107" s="56"/>
      <c r="L1107" s="56"/>
      <c r="M1107" s="56"/>
    </row>
    <row r="1108" spans="2:13" s="15" customFormat="1">
      <c r="B1108" s="56"/>
      <c r="C1108" s="56"/>
      <c r="D1108" s="56"/>
      <c r="E1108" s="56"/>
      <c r="F1108" s="56"/>
      <c r="G1108" s="56"/>
      <c r="H1108" s="56"/>
      <c r="I1108" s="56"/>
      <c r="J1108" s="56"/>
      <c r="K1108" s="56"/>
      <c r="L1108" s="56"/>
      <c r="M1108" s="56"/>
    </row>
  </sheetData>
  <printOptions horizontalCentered="1"/>
  <pageMargins left="0.59055118110236227" right="0.59055118110236227" top="0.86614173228346458" bottom="0.59055118110236227" header="0.51181102362204722" footer="0.51181102362204722"/>
  <pageSetup paperSize="9" scale="89" orientation="landscape" r:id="rId1"/>
  <headerFooter alignWithMargins="0">
    <oddHeader xml:space="preserve">&amp;C&amp;"Arial,Fett"STRABAG Group
</oddHeader>
  </headerFooter>
  <rowBreaks count="6" manualBreakCount="6">
    <brk id="36" max="15" man="1"/>
    <brk id="78" max="15" man="1"/>
    <brk id="102" max="12" man="1"/>
    <brk id="123" max="15" man="1"/>
    <brk id="156" max="15" man="1"/>
    <brk id="18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1"/>
  <sheetViews>
    <sheetView view="pageBreakPreview" zoomScaleNormal="100" zoomScaleSheetLayoutView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baseColWidth="10" defaultColWidth="20.6640625" defaultRowHeight="12" customHeight="1" outlineLevelRow="1"/>
  <cols>
    <col min="1" max="1" width="20.6640625" style="59" customWidth="1"/>
    <col min="2" max="13" width="10.88671875" style="60" customWidth="1"/>
    <col min="14" max="16384" width="20.6640625" style="59"/>
  </cols>
  <sheetData>
    <row r="1" spans="1:22" s="58" customFormat="1" ht="24.75" customHeight="1">
      <c r="A1" s="57" t="s">
        <v>131</v>
      </c>
      <c r="B1" s="272" t="s">
        <v>151</v>
      </c>
      <c r="C1" s="272" t="s">
        <v>150</v>
      </c>
      <c r="D1" s="272" t="s">
        <v>145</v>
      </c>
      <c r="E1" s="272">
        <v>2016</v>
      </c>
      <c r="F1" s="272" t="s">
        <v>149</v>
      </c>
      <c r="G1" s="1">
        <v>2015</v>
      </c>
      <c r="H1" s="1" t="s">
        <v>146</v>
      </c>
      <c r="I1" s="1">
        <v>2014</v>
      </c>
      <c r="J1" s="1" t="s">
        <v>1</v>
      </c>
      <c r="K1" s="1">
        <v>2013</v>
      </c>
      <c r="L1" s="1" t="s">
        <v>2</v>
      </c>
      <c r="M1" s="1">
        <v>2012</v>
      </c>
    </row>
    <row r="2" spans="1:22" ht="3" hidden="1" customHeight="1" outlineLevel="1"/>
    <row r="3" spans="1:22" s="65" customFormat="1" ht="10.199999999999999" customHeight="1" collapsed="1">
      <c r="A3" s="61" t="s">
        <v>3</v>
      </c>
      <c r="B3" s="62">
        <f>B71</f>
        <v>1087.32</v>
      </c>
      <c r="C3" s="63">
        <f>IF((+B3/D3)&lt;0,"n.m.",IF(B3&lt;0,(+B3/D3-1)*-1,(+B3/D3-1)))</f>
        <v>9.6166060105047579E-2</v>
      </c>
      <c r="D3" s="62">
        <f>D71</f>
        <v>991.93000000000006</v>
      </c>
      <c r="E3" s="425">
        <f>E71</f>
        <v>6174.91</v>
      </c>
      <c r="F3" s="512">
        <f t="shared" ref="F3:J7" si="0">IF((+E3/G3)&lt;0,"n.m.",IF(E3&lt;0,(+E3/G3-1)*-1,(+E3/G3-1)))</f>
        <v>-3.0382827711827098E-2</v>
      </c>
      <c r="G3" s="62">
        <f>G71</f>
        <v>6368.4</v>
      </c>
      <c r="H3" s="230">
        <f t="shared" si="0"/>
        <v>1.2070020421298455E-2</v>
      </c>
      <c r="I3" s="62">
        <f>I71</f>
        <v>6292.4500000000007</v>
      </c>
      <c r="J3" s="230">
        <f t="shared" si="0"/>
        <v>4.5064780414242556E-2</v>
      </c>
      <c r="K3" s="62">
        <f>K71</f>
        <v>6021.1100000000006</v>
      </c>
      <c r="L3" s="64">
        <f>(K3-M3)/M3</f>
        <v>-3.4640710450412386E-2</v>
      </c>
      <c r="M3" s="62">
        <v>6237.1699999999992</v>
      </c>
    </row>
    <row r="4" spans="1:22" s="65" customFormat="1" ht="10.199999999999999" customHeight="1">
      <c r="A4" s="61" t="s">
        <v>4</v>
      </c>
      <c r="B4" s="62">
        <f>B101</f>
        <v>7652.07</v>
      </c>
      <c r="C4" s="63">
        <f>IF((+B4/D4)&lt;0,"n.m.",IF(B4&lt;0,(+B4/D4-1)*-1,(+B4/D4-1)))</f>
        <v>0.2324674571652221</v>
      </c>
      <c r="D4" s="62">
        <f>D101</f>
        <v>6208.7399999999989</v>
      </c>
      <c r="E4" s="425">
        <f>E101</f>
        <v>7030.41</v>
      </c>
      <c r="F4" s="512">
        <f t="shared" si="0"/>
        <v>0.30254286746519199</v>
      </c>
      <c r="G4" s="62">
        <f>G101</f>
        <v>5397.45</v>
      </c>
      <c r="H4" s="230">
        <f t="shared" si="0"/>
        <v>-5.014272188765978E-2</v>
      </c>
      <c r="I4" s="62">
        <f>I101</f>
        <v>5682.38</v>
      </c>
      <c r="J4" s="230">
        <f t="shared" si="0"/>
        <v>4.2397537450057365E-2</v>
      </c>
      <c r="K4" s="62">
        <f>K101</f>
        <v>5451.26</v>
      </c>
      <c r="L4" s="64">
        <f>(K4-M4)/M4</f>
        <v>0.1294390161026992</v>
      </c>
      <c r="M4" s="62">
        <v>4826.5200000000004</v>
      </c>
    </row>
    <row r="5" spans="1:22" s="65" customFormat="1" ht="10.199999999999999" customHeight="1">
      <c r="A5" s="61" t="s">
        <v>5</v>
      </c>
      <c r="B5" s="62">
        <v>1021.724</v>
      </c>
      <c r="C5" s="63">
        <f>IF((+B5/D5)&lt;0,"n.m.",IF(B5&lt;0,(+B5/D5-1)*-1,(+B5/D5-1)))</f>
        <v>5.9242364552447802E-2</v>
      </c>
      <c r="D5" s="488">
        <v>964.58</v>
      </c>
      <c r="E5" s="431">
        <v>5802.44</v>
      </c>
      <c r="F5" s="512">
        <f t="shared" si="0"/>
        <v>-1.5718138793235137E-2</v>
      </c>
      <c r="G5" s="62">
        <v>5895.1</v>
      </c>
      <c r="H5" s="230">
        <f t="shared" si="0"/>
        <v>3.0770107719331863E-2</v>
      </c>
      <c r="I5" s="62">
        <v>5719.1220000000003</v>
      </c>
      <c r="J5" s="230">
        <f t="shared" si="0"/>
        <v>3.9681575904770838E-2</v>
      </c>
      <c r="K5" s="62">
        <v>5500.84</v>
      </c>
      <c r="L5" s="64">
        <f>(K5-M5)/M5</f>
        <v>-1.5765421562580328E-3</v>
      </c>
      <c r="M5" s="62">
        <v>5509.5259999999998</v>
      </c>
    </row>
    <row r="6" spans="1:22" s="65" customFormat="1" ht="10.199999999999999" customHeight="1">
      <c r="A6" s="61" t="s">
        <v>132</v>
      </c>
      <c r="B6" s="488">
        <v>-80.364000000000004</v>
      </c>
      <c r="C6" s="63">
        <f>IF((+B6/D6)&lt;0,"n.m.",IF(B6&lt;0,(+B6/D6-1)*-1,(+B6/D6-1)))</f>
        <v>-8.7109325969625395E-3</v>
      </c>
      <c r="D6" s="488">
        <v>-79.67</v>
      </c>
      <c r="E6" s="431">
        <v>169.89</v>
      </c>
      <c r="F6" s="512">
        <f t="shared" si="0"/>
        <v>0.6153846153846152</v>
      </c>
      <c r="G6" s="62">
        <v>105.17</v>
      </c>
      <c r="H6" s="230">
        <f t="shared" si="0"/>
        <v>2.6681664399567508</v>
      </c>
      <c r="I6" s="62">
        <v>28.670999999999999</v>
      </c>
      <c r="J6" s="230">
        <f t="shared" si="0"/>
        <v>-0.60473965010959929</v>
      </c>
      <c r="K6" s="62">
        <v>72.537000000000006</v>
      </c>
      <c r="L6" s="64" t="s">
        <v>13</v>
      </c>
      <c r="M6" s="62">
        <v>-51.317</v>
      </c>
    </row>
    <row r="7" spans="1:22" s="65" customFormat="1" ht="10.199999999999999" customHeight="1">
      <c r="A7" s="61" t="s">
        <v>142</v>
      </c>
      <c r="B7" s="488">
        <v>-80.364000000000004</v>
      </c>
      <c r="C7" s="63">
        <f>IF((+B7/D7)&lt;0,"n.m.",IF(B7&lt;0,(+B7/D7-1)*-1,(+B7/D7-1)))</f>
        <v>-8.7109325969625395E-3</v>
      </c>
      <c r="D7" s="488">
        <v>-79.67</v>
      </c>
      <c r="E7" s="431">
        <v>169.89</v>
      </c>
      <c r="F7" s="512">
        <f t="shared" si="0"/>
        <v>0.6153846153846152</v>
      </c>
      <c r="G7" s="62">
        <v>105.17</v>
      </c>
      <c r="H7" s="230">
        <f t="shared" si="0"/>
        <v>2.6681664399567508</v>
      </c>
      <c r="I7" s="62">
        <v>28.670999999999999</v>
      </c>
      <c r="J7" s="230">
        <f t="shared" si="0"/>
        <v>-0.60473965010959929</v>
      </c>
      <c r="K7" s="62">
        <v>72.537000000000006</v>
      </c>
      <c r="L7" s="64" t="s">
        <v>13</v>
      </c>
      <c r="M7" s="62">
        <v>-51.317</v>
      </c>
    </row>
    <row r="8" spans="1:22" ht="10.199999999999999" customHeight="1">
      <c r="A8" s="66" t="s">
        <v>133</v>
      </c>
      <c r="B8" s="67">
        <f>B6/B5</f>
        <v>-7.8655292427309134E-2</v>
      </c>
      <c r="C8" s="64"/>
      <c r="D8" s="67">
        <f>D6/D5</f>
        <v>-8.2595533807460236E-2</v>
      </c>
      <c r="E8" s="426">
        <f>E6/E5</f>
        <v>2.9279061911885344E-2</v>
      </c>
      <c r="F8" s="67"/>
      <c r="G8" s="67">
        <f>G6/G5</f>
        <v>1.7840240199487708E-2</v>
      </c>
      <c r="H8" s="64"/>
      <c r="I8" s="67">
        <f>I6/I5</f>
        <v>5.0131820933353053E-3</v>
      </c>
      <c r="J8" s="67"/>
      <c r="K8" s="67">
        <f>K6/K5</f>
        <v>1.3186531511550964E-2</v>
      </c>
      <c r="L8" s="67"/>
      <c r="M8" s="67">
        <f>M6/M5</f>
        <v>-9.3142313876003122E-3</v>
      </c>
    </row>
    <row r="9" spans="1:22" ht="10.199999999999999" customHeight="1">
      <c r="A9" s="66" t="s">
        <v>134</v>
      </c>
      <c r="B9" s="68">
        <f>B3/Group!B2</f>
        <v>0.44804865686771411</v>
      </c>
      <c r="C9" s="68"/>
      <c r="D9" s="68">
        <f>D3/Group!D2</f>
        <v>0.43950410513396521</v>
      </c>
      <c r="E9" s="427">
        <f>E3/Group!E2</f>
        <v>0.45770486019229067</v>
      </c>
      <c r="F9" s="68"/>
      <c r="G9" s="68">
        <f>G3/Group!G2</f>
        <v>0.44566178858147371</v>
      </c>
      <c r="H9" s="68"/>
      <c r="I9" s="68">
        <f>I3/Group!I2</f>
        <v>0.46383974642488579</v>
      </c>
      <c r="J9" s="68"/>
      <c r="K9" s="68">
        <f>K3/Group!K185</f>
        <v>0.44360708373271485</v>
      </c>
      <c r="L9" s="68"/>
      <c r="M9" s="68">
        <f>M3/Group!M2</f>
        <v>0.44416062552518754</v>
      </c>
    </row>
    <row r="10" spans="1:22" ht="10.199999999999999" customHeight="1">
      <c r="A10" s="66" t="s">
        <v>135</v>
      </c>
      <c r="B10" s="68">
        <f>B4/Group!B3</f>
        <v>0.4748965595138871</v>
      </c>
      <c r="C10" s="68"/>
      <c r="D10" s="68">
        <f>D4/Group!D3</f>
        <v>0.44422328145145246</v>
      </c>
      <c r="E10" s="427">
        <f>E4/Group!E3</f>
        <v>0.47452143962623661</v>
      </c>
      <c r="F10" s="68"/>
      <c r="G10" s="68">
        <f>G4/Group!G3</f>
        <v>0.41093434278065988</v>
      </c>
      <c r="H10" s="68"/>
      <c r="I10" s="68">
        <f>I4/Group!I3</f>
        <v>0.39451547685830612</v>
      </c>
      <c r="J10" s="68"/>
      <c r="K10" s="68">
        <f>K4/Group!K215</f>
        <v>0.40470597668244529</v>
      </c>
      <c r="L10" s="68"/>
      <c r="M10" s="68">
        <f>M4/Group!M3</f>
        <v>0.36557178629155035</v>
      </c>
    </row>
    <row r="11" spans="1:22" ht="10.199999999999999" customHeight="1">
      <c r="A11" s="66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</row>
    <row r="12" spans="1:22" s="65" customFormat="1" ht="10.199999999999999" customHeight="1">
      <c r="A12" s="70" t="s">
        <v>101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22" s="3" customFormat="1" ht="10.199999999999999">
      <c r="A13" s="72" t="s">
        <v>102</v>
      </c>
      <c r="B13" s="73">
        <v>16736</v>
      </c>
      <c r="C13" s="74">
        <f t="shared" ref="C13:C77" si="1">IF((+B13/D13)&lt;0,"n.m.",IF(B13&lt;0,(+B13/D13-1)*-1,(+B13/D13-1)))</f>
        <v>5.1058217672549144E-2</v>
      </c>
      <c r="D13" s="489">
        <v>15923</v>
      </c>
      <c r="E13" s="432">
        <v>16669</v>
      </c>
      <c r="F13" s="492">
        <f>IF((+E13/G13)&lt;0,"n.m.",IF(E13&lt;0,(+E13/G13-1)*-1,(+E13/G13-1)))</f>
        <v>6.6034337855680469E-4</v>
      </c>
      <c r="G13" s="73">
        <v>16658</v>
      </c>
      <c r="H13" s="93">
        <f>IF((+G13/I13)&lt;0,"n.m.",IF(G13&lt;0,(+G13/I13-1)*-1,(+G13/I13-1)))</f>
        <v>-1.7111163559122011E-2</v>
      </c>
      <c r="I13" s="73">
        <v>16948</v>
      </c>
      <c r="J13" s="93">
        <f>IF((+I13/K13)&lt;0,"n.m.",IF(I13&lt;0,(+I13/K13-1)*-1,(+I13/K13-1)))</f>
        <v>5.3390515258872506E-2</v>
      </c>
      <c r="K13" s="73">
        <v>16089</v>
      </c>
      <c r="L13" s="74"/>
      <c r="M13" s="75"/>
      <c r="N13" s="7"/>
      <c r="O13" s="7"/>
      <c r="P13" s="7"/>
      <c r="Q13" s="7"/>
      <c r="R13" s="7"/>
      <c r="S13" s="7"/>
      <c r="T13" s="7"/>
      <c r="U13" s="7"/>
      <c r="V13" s="7"/>
    </row>
    <row r="14" spans="1:22" s="3" customFormat="1" ht="10.199999999999999">
      <c r="A14" s="72" t="s">
        <v>103</v>
      </c>
      <c r="B14" s="73">
        <v>110</v>
      </c>
      <c r="C14" s="74">
        <f t="shared" si="1"/>
        <v>0.10000000000000009</v>
      </c>
      <c r="D14" s="489">
        <v>100</v>
      </c>
      <c r="E14" s="432">
        <v>101</v>
      </c>
      <c r="F14" s="492">
        <f t="shared" ref="F14:F40" si="2">IF((+E14/G14)&lt;0,"n.m.",IF(E14&lt;0,(+E14/G14-1)*-1,(+E14/G14-1)))</f>
        <v>-0.12931034482758619</v>
      </c>
      <c r="G14" s="73">
        <v>116</v>
      </c>
      <c r="H14" s="93">
        <f t="shared" ref="H14:J39" si="3">IF((+G14/I14)&lt;0,"n.m.",IF(G14&lt;0,(+G14/I14-1)*-1,(+G14/I14-1)))</f>
        <v>4.5045045045045029E-2</v>
      </c>
      <c r="I14" s="73">
        <v>111</v>
      </c>
      <c r="J14" s="93">
        <f t="shared" si="3"/>
        <v>-1.7699115044247815E-2</v>
      </c>
      <c r="K14" s="73">
        <v>113</v>
      </c>
      <c r="L14" s="74"/>
      <c r="M14" s="75"/>
      <c r="N14" s="7"/>
      <c r="O14" s="7"/>
      <c r="P14" s="7"/>
      <c r="Q14" s="7"/>
      <c r="R14" s="7"/>
      <c r="S14" s="7"/>
      <c r="T14" s="7"/>
      <c r="U14" s="7"/>
      <c r="V14" s="7"/>
    </row>
    <row r="15" spans="1:22" s="3" customFormat="1" ht="10.199999999999999">
      <c r="A15" s="72" t="s">
        <v>104</v>
      </c>
      <c r="B15" s="73">
        <v>3524</v>
      </c>
      <c r="C15" s="74">
        <f t="shared" si="1"/>
        <v>2.0266357845975635E-2</v>
      </c>
      <c r="D15" s="489">
        <v>3454</v>
      </c>
      <c r="E15" s="432">
        <v>3467</v>
      </c>
      <c r="F15" s="492">
        <f t="shared" si="2"/>
        <v>2.6650873556411048E-2</v>
      </c>
      <c r="G15" s="73">
        <v>3377</v>
      </c>
      <c r="H15" s="93">
        <f t="shared" si="3"/>
        <v>3.779963122310992E-2</v>
      </c>
      <c r="I15" s="73">
        <v>3254</v>
      </c>
      <c r="J15" s="93">
        <f t="shared" si="3"/>
        <v>-0.12784776199410341</v>
      </c>
      <c r="K15" s="73">
        <v>3731</v>
      </c>
      <c r="L15" s="74"/>
      <c r="M15" s="75"/>
      <c r="N15" s="7"/>
      <c r="O15" s="7"/>
      <c r="P15" s="7"/>
      <c r="Q15" s="7"/>
      <c r="R15" s="7"/>
      <c r="S15" s="7"/>
      <c r="T15" s="7"/>
      <c r="U15" s="7"/>
      <c r="V15" s="7"/>
    </row>
    <row r="16" spans="1:22" s="3" customFormat="1" ht="10.199999999999999">
      <c r="A16" s="72" t="s">
        <v>105</v>
      </c>
      <c r="B16" s="73">
        <v>56</v>
      </c>
      <c r="C16" s="74">
        <f t="shared" si="1"/>
        <v>17.666666666666668</v>
      </c>
      <c r="D16" s="489">
        <v>3</v>
      </c>
      <c r="E16" s="432">
        <v>1</v>
      </c>
      <c r="F16" s="492">
        <f t="shared" si="2"/>
        <v>0</v>
      </c>
      <c r="G16" s="73">
        <v>1</v>
      </c>
      <c r="H16" s="93"/>
      <c r="I16" s="73">
        <v>0</v>
      </c>
      <c r="J16" s="93"/>
      <c r="K16" s="73">
        <v>0</v>
      </c>
      <c r="L16" s="74"/>
      <c r="M16" s="75"/>
      <c r="N16" s="7"/>
      <c r="O16" s="7"/>
      <c r="P16" s="7"/>
      <c r="Q16" s="7"/>
      <c r="R16" s="7"/>
      <c r="S16" s="7"/>
      <c r="T16" s="7"/>
      <c r="U16" s="7"/>
      <c r="V16" s="7"/>
    </row>
    <row r="17" spans="1:22" s="11" customFormat="1" ht="10.199999999999999">
      <c r="A17" s="72" t="s">
        <v>106</v>
      </c>
      <c r="B17" s="73">
        <v>12</v>
      </c>
      <c r="C17" s="74"/>
      <c r="D17" s="489">
        <v>0</v>
      </c>
      <c r="E17" s="432">
        <v>5</v>
      </c>
      <c r="F17" s="492">
        <f t="shared" si="2"/>
        <v>4</v>
      </c>
      <c r="G17" s="73">
        <v>1</v>
      </c>
      <c r="H17" s="93">
        <f t="shared" si="3"/>
        <v>0</v>
      </c>
      <c r="I17" s="73">
        <v>1</v>
      </c>
      <c r="J17" s="93">
        <f t="shared" si="3"/>
        <v>-0.75</v>
      </c>
      <c r="K17" s="73">
        <v>4</v>
      </c>
      <c r="L17" s="74"/>
      <c r="M17" s="75"/>
      <c r="N17" s="15"/>
      <c r="O17" s="15"/>
      <c r="P17" s="15"/>
      <c r="Q17" s="15"/>
      <c r="R17" s="15"/>
      <c r="S17" s="15"/>
      <c r="T17" s="15"/>
      <c r="U17" s="15"/>
      <c r="V17" s="15"/>
    </row>
    <row r="18" spans="1:22" s="11" customFormat="1" ht="10.199999999999999">
      <c r="A18" s="72" t="s">
        <v>154</v>
      </c>
      <c r="B18" s="73">
        <v>0</v>
      </c>
      <c r="C18" s="74">
        <f t="shared" si="1"/>
        <v>-1</v>
      </c>
      <c r="D18" s="489">
        <v>81</v>
      </c>
      <c r="E18" s="432">
        <v>128</v>
      </c>
      <c r="F18" s="492">
        <f t="shared" si="2"/>
        <v>-0.19999999999999996</v>
      </c>
      <c r="G18" s="73">
        <v>160</v>
      </c>
      <c r="H18" s="93">
        <f t="shared" si="3"/>
        <v>-0.5107033639143731</v>
      </c>
      <c r="I18" s="73">
        <v>327</v>
      </c>
      <c r="J18" s="93">
        <f t="shared" si="3"/>
        <v>-7.1022727272727293E-2</v>
      </c>
      <c r="K18" s="73">
        <v>352</v>
      </c>
      <c r="L18" s="74"/>
      <c r="M18" s="75"/>
      <c r="N18" s="15"/>
      <c r="O18" s="15"/>
      <c r="P18" s="15"/>
      <c r="Q18" s="15"/>
      <c r="R18" s="15"/>
      <c r="S18" s="15"/>
      <c r="T18" s="15"/>
      <c r="U18" s="15"/>
      <c r="V18" s="15"/>
    </row>
    <row r="19" spans="1:22" s="11" customFormat="1" ht="10.199999999999999">
      <c r="A19" s="72" t="s">
        <v>107</v>
      </c>
      <c r="B19" s="73">
        <v>0</v>
      </c>
      <c r="C19" s="74"/>
      <c r="D19" s="489">
        <v>0</v>
      </c>
      <c r="E19" s="432">
        <v>0</v>
      </c>
      <c r="F19" s="492"/>
      <c r="G19" s="73">
        <v>0</v>
      </c>
      <c r="H19" s="93"/>
      <c r="I19" s="73">
        <v>0</v>
      </c>
      <c r="J19" s="93"/>
      <c r="K19" s="73">
        <v>0</v>
      </c>
      <c r="L19" s="74"/>
      <c r="M19" s="75"/>
      <c r="N19" s="15"/>
      <c r="O19" s="15"/>
      <c r="P19" s="15"/>
      <c r="Q19" s="15"/>
      <c r="R19" s="15"/>
      <c r="S19" s="15"/>
      <c r="T19" s="15"/>
      <c r="U19" s="15"/>
      <c r="V19" s="15"/>
    </row>
    <row r="20" spans="1:22" s="11" customFormat="1" ht="10.199999999999999">
      <c r="A20" s="72" t="s">
        <v>108</v>
      </c>
      <c r="B20" s="73">
        <v>72</v>
      </c>
      <c r="C20" s="74">
        <f t="shared" si="1"/>
        <v>0.14285714285714279</v>
      </c>
      <c r="D20" s="489">
        <v>63</v>
      </c>
      <c r="E20" s="432">
        <v>63</v>
      </c>
      <c r="F20" s="492">
        <f t="shared" si="2"/>
        <v>-0.13698630136986301</v>
      </c>
      <c r="G20" s="73">
        <v>73</v>
      </c>
      <c r="H20" s="93">
        <f t="shared" si="3"/>
        <v>7.3529411764705843E-2</v>
      </c>
      <c r="I20" s="73">
        <v>68</v>
      </c>
      <c r="J20" s="93">
        <f t="shared" si="3"/>
        <v>-6.8493150684931559E-2</v>
      </c>
      <c r="K20" s="73">
        <v>73</v>
      </c>
      <c r="L20" s="74"/>
      <c r="M20" s="75"/>
      <c r="N20" s="15"/>
      <c r="O20" s="15"/>
      <c r="P20" s="15"/>
      <c r="Q20" s="15"/>
      <c r="R20" s="15"/>
      <c r="S20" s="15"/>
      <c r="T20" s="15"/>
      <c r="U20" s="15"/>
      <c r="V20" s="15"/>
    </row>
    <row r="21" spans="1:22" s="11" customFormat="1" ht="10.199999999999999">
      <c r="A21" s="72" t="s">
        <v>109</v>
      </c>
      <c r="B21" s="73">
        <v>0</v>
      </c>
      <c r="C21" s="74"/>
      <c r="D21" s="489">
        <v>0</v>
      </c>
      <c r="E21" s="432">
        <v>0</v>
      </c>
      <c r="F21" s="492"/>
      <c r="G21" s="73">
        <v>0</v>
      </c>
      <c r="H21" s="93"/>
      <c r="I21" s="73">
        <v>0</v>
      </c>
      <c r="J21" s="93">
        <f t="shared" si="3"/>
        <v>-1</v>
      </c>
      <c r="K21" s="73">
        <v>1</v>
      </c>
      <c r="L21" s="74"/>
      <c r="M21" s="75"/>
      <c r="N21" s="15"/>
      <c r="O21" s="15"/>
      <c r="P21" s="15"/>
      <c r="Q21" s="15"/>
      <c r="R21" s="15"/>
      <c r="S21" s="15"/>
      <c r="T21" s="15"/>
      <c r="U21" s="15"/>
      <c r="V21" s="15"/>
    </row>
    <row r="22" spans="1:22" s="11" customFormat="1" ht="10.199999999999999">
      <c r="A22" s="72" t="s">
        <v>110</v>
      </c>
      <c r="B22" s="73">
        <v>0</v>
      </c>
      <c r="C22" s="74"/>
      <c r="D22" s="489">
        <v>0</v>
      </c>
      <c r="E22" s="432">
        <v>0</v>
      </c>
      <c r="F22" s="492"/>
      <c r="G22" s="73">
        <v>0</v>
      </c>
      <c r="H22" s="93"/>
      <c r="I22" s="73">
        <v>0</v>
      </c>
      <c r="J22" s="93"/>
      <c r="K22" s="73">
        <v>0</v>
      </c>
      <c r="L22" s="74"/>
      <c r="M22" s="75"/>
      <c r="N22" s="15"/>
      <c r="O22" s="15"/>
      <c r="P22" s="15"/>
      <c r="Q22" s="15"/>
      <c r="R22" s="15"/>
      <c r="S22" s="15"/>
      <c r="T22" s="15"/>
      <c r="U22" s="15"/>
      <c r="V22" s="15"/>
    </row>
    <row r="23" spans="1:22" s="11" customFormat="1" ht="10.199999999999999">
      <c r="A23" s="72" t="s">
        <v>111</v>
      </c>
      <c r="B23" s="73">
        <v>0</v>
      </c>
      <c r="C23" s="74"/>
      <c r="D23" s="489">
        <v>0</v>
      </c>
      <c r="E23" s="432">
        <v>0</v>
      </c>
      <c r="F23" s="492"/>
      <c r="G23" s="73">
        <v>0</v>
      </c>
      <c r="H23" s="93"/>
      <c r="I23" s="73">
        <v>0</v>
      </c>
      <c r="J23" s="93"/>
      <c r="K23" s="73">
        <v>0</v>
      </c>
      <c r="L23" s="74"/>
      <c r="M23" s="75"/>
      <c r="N23" s="15"/>
      <c r="O23" s="15"/>
      <c r="P23" s="15"/>
      <c r="Q23" s="15"/>
      <c r="R23" s="15"/>
      <c r="S23" s="15"/>
      <c r="T23" s="15"/>
      <c r="U23" s="15"/>
      <c r="V23" s="15"/>
    </row>
    <row r="24" spans="1:22" s="11" customFormat="1" ht="10.199999999999999">
      <c r="A24" s="72" t="s">
        <v>112</v>
      </c>
      <c r="B24" s="73">
        <v>0</v>
      </c>
      <c r="C24" s="74"/>
      <c r="D24" s="489">
        <v>0</v>
      </c>
      <c r="E24" s="432">
        <v>0</v>
      </c>
      <c r="F24" s="492"/>
      <c r="G24" s="73">
        <v>0</v>
      </c>
      <c r="H24" s="93"/>
      <c r="I24" s="73">
        <v>0</v>
      </c>
      <c r="J24" s="93"/>
      <c r="K24" s="73">
        <v>0</v>
      </c>
      <c r="L24" s="74"/>
      <c r="M24" s="75"/>
      <c r="N24" s="15"/>
      <c r="O24" s="15"/>
      <c r="P24" s="15"/>
      <c r="Q24" s="15"/>
      <c r="R24" s="15"/>
      <c r="S24" s="15"/>
      <c r="T24" s="15"/>
      <c r="U24" s="15"/>
      <c r="V24" s="15"/>
    </row>
    <row r="25" spans="1:22" s="11" customFormat="1" ht="10.199999999999999">
      <c r="A25" s="72" t="s">
        <v>113</v>
      </c>
      <c r="B25" s="73">
        <v>72</v>
      </c>
      <c r="C25" s="74">
        <f t="shared" si="1"/>
        <v>-0.25773195876288657</v>
      </c>
      <c r="D25" s="489">
        <v>97</v>
      </c>
      <c r="E25" s="432">
        <v>81</v>
      </c>
      <c r="F25" s="492">
        <f t="shared" si="2"/>
        <v>-4.705882352941182E-2</v>
      </c>
      <c r="G25" s="73">
        <v>85</v>
      </c>
      <c r="H25" s="93">
        <f t="shared" si="3"/>
        <v>8.9743589743589647E-2</v>
      </c>
      <c r="I25" s="73">
        <v>78</v>
      </c>
      <c r="J25" s="93">
        <f t="shared" si="3"/>
        <v>-0.11363636363636365</v>
      </c>
      <c r="K25" s="73">
        <v>88</v>
      </c>
      <c r="L25" s="74"/>
      <c r="M25" s="75"/>
      <c r="N25" s="15"/>
      <c r="O25" s="15"/>
      <c r="P25" s="15"/>
      <c r="Q25" s="15"/>
      <c r="R25" s="15"/>
      <c r="S25" s="15"/>
      <c r="T25" s="15"/>
      <c r="U25" s="15"/>
      <c r="V25" s="15"/>
    </row>
    <row r="26" spans="1:22" s="11" customFormat="1" ht="10.199999999999999">
      <c r="A26" s="72" t="s">
        <v>114</v>
      </c>
      <c r="B26" s="77">
        <v>511</v>
      </c>
      <c r="C26" s="74">
        <f t="shared" si="1"/>
        <v>4.0733197556008127E-2</v>
      </c>
      <c r="D26" s="332">
        <v>491</v>
      </c>
      <c r="E26" s="433">
        <v>515</v>
      </c>
      <c r="F26" s="492">
        <f t="shared" si="2"/>
        <v>-0.11663807890222988</v>
      </c>
      <c r="G26" s="77">
        <v>583</v>
      </c>
      <c r="H26" s="93">
        <f t="shared" si="3"/>
        <v>-4.4262295081967218E-2</v>
      </c>
      <c r="I26" s="77">
        <v>610</v>
      </c>
      <c r="J26" s="93">
        <f t="shared" si="3"/>
        <v>-0.21391752577319589</v>
      </c>
      <c r="K26" s="77">
        <v>776</v>
      </c>
      <c r="L26" s="74"/>
      <c r="M26" s="78"/>
      <c r="N26" s="15"/>
      <c r="O26" s="15"/>
      <c r="P26" s="15"/>
      <c r="Q26" s="15"/>
      <c r="R26" s="15"/>
      <c r="S26" s="15"/>
      <c r="T26" s="15"/>
      <c r="U26" s="15"/>
      <c r="V26" s="15"/>
    </row>
    <row r="27" spans="1:22" s="11" customFormat="1" ht="10.199999999999999">
      <c r="A27" s="72" t="s">
        <v>115</v>
      </c>
      <c r="B27" s="73">
        <v>366</v>
      </c>
      <c r="C27" s="74">
        <f t="shared" si="1"/>
        <v>-4.4386422976501305E-2</v>
      </c>
      <c r="D27" s="489">
        <v>383</v>
      </c>
      <c r="E27" s="432">
        <v>369</v>
      </c>
      <c r="F27" s="492">
        <f t="shared" si="2"/>
        <v>-0.12142857142857144</v>
      </c>
      <c r="G27" s="73">
        <v>420</v>
      </c>
      <c r="H27" s="93">
        <f t="shared" si="3"/>
        <v>-0.19075144508670516</v>
      </c>
      <c r="I27" s="73">
        <v>519</v>
      </c>
      <c r="J27" s="93">
        <f t="shared" si="3"/>
        <v>-0.24563953488372092</v>
      </c>
      <c r="K27" s="73">
        <v>688</v>
      </c>
      <c r="L27" s="74"/>
      <c r="M27" s="75"/>
      <c r="N27" s="15"/>
      <c r="O27" s="15"/>
      <c r="P27" s="15"/>
      <c r="Q27" s="15"/>
      <c r="R27" s="15"/>
      <c r="S27" s="15"/>
      <c r="T27" s="15"/>
      <c r="U27" s="15"/>
      <c r="V27" s="15"/>
    </row>
    <row r="28" spans="1:22" s="3" customFormat="1" ht="10.199999999999999">
      <c r="A28" s="72" t="s">
        <v>116</v>
      </c>
      <c r="B28" s="73">
        <v>2</v>
      </c>
      <c r="C28" s="74">
        <f t="shared" si="1"/>
        <v>-0.33333333333333337</v>
      </c>
      <c r="D28" s="489">
        <v>3</v>
      </c>
      <c r="E28" s="432">
        <v>2</v>
      </c>
      <c r="F28" s="492">
        <f t="shared" si="2"/>
        <v>-0.5</v>
      </c>
      <c r="G28" s="73">
        <v>4</v>
      </c>
      <c r="H28" s="93">
        <f t="shared" si="3"/>
        <v>-0.66666666666666674</v>
      </c>
      <c r="I28" s="73">
        <v>12</v>
      </c>
      <c r="J28" s="93">
        <f t="shared" si="3"/>
        <v>0.33333333333333326</v>
      </c>
      <c r="K28" s="73">
        <v>9</v>
      </c>
      <c r="L28" s="74"/>
      <c r="M28" s="75"/>
      <c r="N28" s="7"/>
      <c r="O28" s="7"/>
      <c r="P28" s="7"/>
      <c r="Q28" s="7"/>
      <c r="R28" s="7"/>
      <c r="S28" s="7"/>
      <c r="T28" s="7"/>
      <c r="U28" s="7"/>
      <c r="V28" s="7"/>
    </row>
    <row r="29" spans="1:22" s="11" customFormat="1" ht="10.199999999999999">
      <c r="A29" s="72" t="s">
        <v>117</v>
      </c>
      <c r="B29" s="73">
        <v>409</v>
      </c>
      <c r="C29" s="74">
        <f t="shared" si="1"/>
        <v>-0.18687872763419489</v>
      </c>
      <c r="D29" s="489">
        <v>503</v>
      </c>
      <c r="E29" s="432">
        <v>479</v>
      </c>
      <c r="F29" s="492">
        <f t="shared" si="2"/>
        <v>-6.262230919765166E-2</v>
      </c>
      <c r="G29" s="73">
        <v>511</v>
      </c>
      <c r="H29" s="93">
        <f t="shared" si="3"/>
        <v>-9.2362344582593292E-2</v>
      </c>
      <c r="I29" s="73">
        <v>563</v>
      </c>
      <c r="J29" s="93">
        <f t="shared" si="3"/>
        <v>1.307377049180328</v>
      </c>
      <c r="K29" s="73">
        <v>244</v>
      </c>
      <c r="L29" s="74"/>
      <c r="M29" s="75"/>
      <c r="N29" s="15"/>
      <c r="O29" s="15"/>
      <c r="P29" s="15"/>
      <c r="Q29" s="15"/>
      <c r="R29" s="15"/>
      <c r="S29" s="15"/>
      <c r="T29" s="15"/>
      <c r="U29" s="15"/>
      <c r="V29" s="15"/>
    </row>
    <row r="30" spans="1:22" s="11" customFormat="1" ht="10.199999999999999">
      <c r="A30" s="72" t="s">
        <v>118</v>
      </c>
      <c r="B30" s="73">
        <v>169</v>
      </c>
      <c r="C30" s="74">
        <f t="shared" si="1"/>
        <v>4.8275862068965516</v>
      </c>
      <c r="D30" s="489">
        <v>29</v>
      </c>
      <c r="E30" s="432">
        <v>130</v>
      </c>
      <c r="F30" s="492">
        <f t="shared" si="2"/>
        <v>-0.19753086419753085</v>
      </c>
      <c r="G30" s="73">
        <v>162</v>
      </c>
      <c r="H30" s="93">
        <f t="shared" si="3"/>
        <v>-0.50458715596330272</v>
      </c>
      <c r="I30" s="73">
        <v>327</v>
      </c>
      <c r="J30" s="93">
        <f t="shared" si="3"/>
        <v>-3.2544378698224907E-2</v>
      </c>
      <c r="K30" s="73">
        <v>338</v>
      </c>
      <c r="L30" s="74"/>
      <c r="M30" s="75"/>
      <c r="N30" s="15"/>
      <c r="O30" s="15"/>
      <c r="P30" s="15"/>
      <c r="Q30" s="15"/>
      <c r="R30" s="15"/>
      <c r="S30" s="15"/>
      <c r="T30" s="15"/>
      <c r="U30" s="15"/>
      <c r="V30" s="15"/>
    </row>
    <row r="31" spans="1:22" s="11" customFormat="1" ht="10.199999999999999">
      <c r="A31" s="72" t="s">
        <v>119</v>
      </c>
      <c r="B31" s="73">
        <v>88</v>
      </c>
      <c r="C31" s="74">
        <f t="shared" si="1"/>
        <v>-0.16981132075471694</v>
      </c>
      <c r="D31" s="489">
        <v>106</v>
      </c>
      <c r="E31" s="432">
        <v>98</v>
      </c>
      <c r="F31" s="492">
        <f t="shared" si="2"/>
        <v>-0.48691099476439792</v>
      </c>
      <c r="G31" s="73">
        <v>191</v>
      </c>
      <c r="H31" s="93">
        <f t="shared" si="3"/>
        <v>-0.25968992248062017</v>
      </c>
      <c r="I31" s="73">
        <v>258</v>
      </c>
      <c r="J31" s="93">
        <f t="shared" si="3"/>
        <v>0.70860927152317887</v>
      </c>
      <c r="K31" s="73">
        <v>151</v>
      </c>
      <c r="L31" s="74"/>
      <c r="M31" s="75"/>
      <c r="N31" s="15"/>
      <c r="O31" s="15"/>
      <c r="P31" s="15"/>
      <c r="Q31" s="15"/>
      <c r="R31" s="15"/>
      <c r="S31" s="15"/>
      <c r="T31" s="15"/>
      <c r="U31" s="15"/>
      <c r="V31" s="15"/>
    </row>
    <row r="32" spans="1:22" s="11" customFormat="1" ht="10.199999999999999">
      <c r="A32" s="72" t="s">
        <v>120</v>
      </c>
      <c r="B32" s="73">
        <v>55</v>
      </c>
      <c r="C32" s="74">
        <f t="shared" si="1"/>
        <v>0.10000000000000009</v>
      </c>
      <c r="D32" s="489">
        <v>50</v>
      </c>
      <c r="E32" s="432">
        <v>55</v>
      </c>
      <c r="F32" s="492">
        <f t="shared" si="2"/>
        <v>0.27906976744186052</v>
      </c>
      <c r="G32" s="73">
        <v>43</v>
      </c>
      <c r="H32" s="93">
        <f t="shared" si="3"/>
        <v>0.43333333333333335</v>
      </c>
      <c r="I32" s="73">
        <v>30</v>
      </c>
      <c r="J32" s="93">
        <f t="shared" si="3"/>
        <v>7.1428571428571397E-2</v>
      </c>
      <c r="K32" s="73">
        <v>28</v>
      </c>
      <c r="L32" s="80"/>
      <c r="M32" s="75"/>
      <c r="N32" s="15"/>
      <c r="O32" s="15"/>
      <c r="P32" s="15"/>
      <c r="Q32" s="15"/>
      <c r="R32" s="15"/>
      <c r="S32" s="15"/>
      <c r="T32" s="15"/>
      <c r="U32" s="15"/>
      <c r="V32" s="15"/>
    </row>
    <row r="33" spans="1:22" s="11" customFormat="1" ht="10.199999999999999">
      <c r="A33" s="72" t="s">
        <v>121</v>
      </c>
      <c r="B33" s="81">
        <v>71</v>
      </c>
      <c r="C33" s="74">
        <f t="shared" si="1"/>
        <v>0.16393442622950816</v>
      </c>
      <c r="D33" s="490">
        <v>61</v>
      </c>
      <c r="E33" s="434">
        <v>70</v>
      </c>
      <c r="F33" s="492">
        <f t="shared" si="2"/>
        <v>1</v>
      </c>
      <c r="G33" s="81">
        <v>35</v>
      </c>
      <c r="H33" s="93">
        <f t="shared" si="3"/>
        <v>1.9166666666666665</v>
      </c>
      <c r="I33" s="81">
        <v>12</v>
      </c>
      <c r="J33" s="93">
        <f t="shared" si="3"/>
        <v>2</v>
      </c>
      <c r="K33" s="81">
        <v>4</v>
      </c>
      <c r="L33" s="74"/>
      <c r="M33" s="82"/>
      <c r="N33" s="15"/>
      <c r="O33" s="15"/>
      <c r="P33" s="15"/>
      <c r="Q33" s="15"/>
      <c r="R33" s="15"/>
      <c r="S33" s="15"/>
      <c r="T33" s="15"/>
      <c r="U33" s="15"/>
      <c r="V33" s="15"/>
    </row>
    <row r="34" spans="1:22" s="11" customFormat="1" ht="10.199999999999999">
      <c r="A34" s="72" t="s">
        <v>122</v>
      </c>
      <c r="B34" s="81">
        <v>0</v>
      </c>
      <c r="C34" s="74"/>
      <c r="D34" s="490">
        <v>0</v>
      </c>
      <c r="E34" s="81">
        <v>0</v>
      </c>
      <c r="F34" s="492">
        <f t="shared" si="2"/>
        <v>-1</v>
      </c>
      <c r="G34" s="81">
        <v>1</v>
      </c>
      <c r="H34" s="93">
        <f t="shared" si="3"/>
        <v>-0.8</v>
      </c>
      <c r="I34" s="81">
        <v>5</v>
      </c>
      <c r="J34" s="93">
        <f t="shared" si="3"/>
        <v>-0.16666666666666663</v>
      </c>
      <c r="K34" s="81">
        <v>6</v>
      </c>
      <c r="L34" s="74"/>
      <c r="M34" s="82"/>
      <c r="N34" s="15"/>
      <c r="O34" s="15"/>
      <c r="P34" s="15"/>
      <c r="Q34" s="15"/>
      <c r="R34" s="15"/>
      <c r="S34" s="15"/>
      <c r="T34" s="15"/>
      <c r="U34" s="15"/>
      <c r="V34" s="15"/>
    </row>
    <row r="35" spans="1:22" s="11" customFormat="1" ht="10.199999999999999">
      <c r="A35" s="79" t="s">
        <v>102</v>
      </c>
      <c r="B35" s="83">
        <f>B13</f>
        <v>16736</v>
      </c>
      <c r="C35" s="74">
        <f t="shared" si="1"/>
        <v>5.1058217672549144E-2</v>
      </c>
      <c r="D35" s="83">
        <f>D13</f>
        <v>15923</v>
      </c>
      <c r="E35" s="333">
        <f>E13</f>
        <v>16669</v>
      </c>
      <c r="F35" s="492">
        <f t="shared" si="2"/>
        <v>6.6034337855680469E-4</v>
      </c>
      <c r="G35" s="83">
        <f>G13</f>
        <v>16658</v>
      </c>
      <c r="H35" s="93">
        <f t="shared" si="3"/>
        <v>-1.7111163559122011E-2</v>
      </c>
      <c r="I35" s="83">
        <f>I13</f>
        <v>16948</v>
      </c>
      <c r="J35" s="93">
        <f t="shared" si="3"/>
        <v>5.3390515258872506E-2</v>
      </c>
      <c r="K35" s="83">
        <f>K13</f>
        <v>16089</v>
      </c>
      <c r="L35" s="74"/>
      <c r="M35" s="84"/>
      <c r="N35" s="15"/>
      <c r="O35" s="15"/>
      <c r="P35" s="15"/>
      <c r="Q35" s="15"/>
      <c r="R35" s="15"/>
      <c r="S35" s="15"/>
      <c r="T35" s="15"/>
      <c r="U35" s="15"/>
      <c r="V35" s="15"/>
    </row>
    <row r="36" spans="1:22" s="11" customFormat="1" ht="10.199999999999999">
      <c r="A36" s="79" t="s">
        <v>103</v>
      </c>
      <c r="B36" s="83">
        <f>B14</f>
        <v>110</v>
      </c>
      <c r="C36" s="74">
        <f t="shared" si="1"/>
        <v>0.10000000000000009</v>
      </c>
      <c r="D36" s="83">
        <f>D14</f>
        <v>100</v>
      </c>
      <c r="E36" s="333">
        <f>E14</f>
        <v>101</v>
      </c>
      <c r="F36" s="492">
        <f t="shared" si="2"/>
        <v>-0.12931034482758619</v>
      </c>
      <c r="G36" s="83">
        <f>G14</f>
        <v>116</v>
      </c>
      <c r="H36" s="93">
        <f t="shared" si="3"/>
        <v>4.5045045045045029E-2</v>
      </c>
      <c r="I36" s="83">
        <f>I14</f>
        <v>111</v>
      </c>
      <c r="J36" s="93">
        <f t="shared" si="3"/>
        <v>-1.7699115044247815E-2</v>
      </c>
      <c r="K36" s="83">
        <f>K14</f>
        <v>113</v>
      </c>
      <c r="L36" s="74"/>
      <c r="M36" s="84"/>
      <c r="N36" s="15"/>
      <c r="O36" s="15"/>
      <c r="P36" s="15"/>
      <c r="Q36" s="15"/>
      <c r="R36" s="15"/>
      <c r="S36" s="15"/>
      <c r="T36" s="15"/>
      <c r="U36" s="15"/>
      <c r="V36" s="15"/>
    </row>
    <row r="37" spans="1:22" s="3" customFormat="1" ht="10.199999999999999">
      <c r="A37" s="79" t="s">
        <v>123</v>
      </c>
      <c r="B37" s="77">
        <f>B15+B16+B17+B18+B19+B20+B21+B22+B23+B24</f>
        <v>3664</v>
      </c>
      <c r="C37" s="74">
        <f t="shared" si="1"/>
        <v>1.7495140238822593E-2</v>
      </c>
      <c r="D37" s="77">
        <f>D15+D16+D17+D18+D19+D20+D21+D22+D23+D24</f>
        <v>3601</v>
      </c>
      <c r="E37" s="332">
        <f>E15+E16+E17+E18+E19+E20+E21+E22+E23+E24</f>
        <v>3664</v>
      </c>
      <c r="F37" s="492">
        <f t="shared" si="2"/>
        <v>1.439645625692143E-2</v>
      </c>
      <c r="G37" s="77">
        <f>G15+G16+G17+G18+G19+G20+G21+G22+G23+G24</f>
        <v>3612</v>
      </c>
      <c r="H37" s="93">
        <f t="shared" si="3"/>
        <v>-1.0410958904109591E-2</v>
      </c>
      <c r="I37" s="77">
        <f>I15+I16+I17+I18+I19+I20+I21+I22+I23+I24</f>
        <v>3650</v>
      </c>
      <c r="J37" s="93">
        <f t="shared" si="3"/>
        <v>-0.1228070175438597</v>
      </c>
      <c r="K37" s="77">
        <f>K15+K16+K17+K18+K19+K20+K21+K22+K23+K24</f>
        <v>4161</v>
      </c>
      <c r="L37" s="74"/>
      <c r="M37" s="78"/>
      <c r="N37" s="7"/>
      <c r="O37" s="7"/>
      <c r="P37" s="7"/>
      <c r="Q37" s="7"/>
      <c r="R37" s="7"/>
      <c r="S37" s="7"/>
      <c r="T37" s="7"/>
      <c r="U37" s="7"/>
      <c r="V37" s="7"/>
    </row>
    <row r="38" spans="1:22" s="3" customFormat="1" ht="10.199999999999999">
      <c r="A38" s="79" t="s">
        <v>124</v>
      </c>
      <c r="B38" s="77">
        <f>B25+B26+B27+B28+B29+B30</f>
        <v>1529</v>
      </c>
      <c r="C38" s="74">
        <f t="shared" si="1"/>
        <v>1.5272244355909681E-2</v>
      </c>
      <c r="D38" s="77">
        <f>D25+D26+D27+D28+D29+D30</f>
        <v>1506</v>
      </c>
      <c r="E38" s="332">
        <f>E25+E26+E27+E28+E29+E30</f>
        <v>1576</v>
      </c>
      <c r="F38" s="492">
        <f t="shared" si="2"/>
        <v>-0.1070821529745043</v>
      </c>
      <c r="G38" s="77">
        <f>G25+G26+G27+G28+G29+G30</f>
        <v>1765</v>
      </c>
      <c r="H38" s="93">
        <f t="shared" si="3"/>
        <v>-0.16311047889995256</v>
      </c>
      <c r="I38" s="77">
        <f>I25+I26+I27+I28+I29+I30</f>
        <v>2109</v>
      </c>
      <c r="J38" s="93">
        <f t="shared" si="3"/>
        <v>-1.5865608959402699E-2</v>
      </c>
      <c r="K38" s="77">
        <f>K25+K26+K27+K28+K29+K30</f>
        <v>2143</v>
      </c>
      <c r="L38" s="74"/>
      <c r="M38" s="78"/>
      <c r="N38" s="7"/>
      <c r="O38" s="7"/>
      <c r="P38" s="7"/>
      <c r="Q38" s="7"/>
      <c r="R38" s="7"/>
      <c r="S38" s="7"/>
      <c r="T38" s="7"/>
      <c r="U38" s="7"/>
      <c r="V38" s="7"/>
    </row>
    <row r="39" spans="1:22" s="11" customFormat="1" ht="10.199999999999999">
      <c r="A39" s="79" t="s">
        <v>125</v>
      </c>
      <c r="B39" s="77">
        <f>B31+B32+B33+B34</f>
        <v>214</v>
      </c>
      <c r="C39" s="74">
        <f t="shared" si="1"/>
        <v>-1.3824884792626779E-2</v>
      </c>
      <c r="D39" s="77">
        <f>D31+D32+D33+D34</f>
        <v>217</v>
      </c>
      <c r="E39" s="332">
        <f>E31+E32+E33+E34</f>
        <v>223</v>
      </c>
      <c r="F39" s="492">
        <f t="shared" si="2"/>
        <v>-0.17407407407407405</v>
      </c>
      <c r="G39" s="77">
        <f>G31+G32+G33+G34</f>
        <v>270</v>
      </c>
      <c r="H39" s="93">
        <f t="shared" si="3"/>
        <v>-0.11475409836065575</v>
      </c>
      <c r="I39" s="77">
        <f>I31+I32+I33+I34</f>
        <v>305</v>
      </c>
      <c r="J39" s="93">
        <f t="shared" si="3"/>
        <v>0.61375661375661372</v>
      </c>
      <c r="K39" s="77">
        <f>K31+K32+K33+K34</f>
        <v>189</v>
      </c>
      <c r="L39" s="74"/>
      <c r="M39" s="78"/>
      <c r="N39" s="15"/>
      <c r="O39" s="15"/>
      <c r="P39" s="15"/>
      <c r="Q39" s="15"/>
      <c r="R39" s="15"/>
      <c r="S39" s="15"/>
      <c r="T39" s="15"/>
      <c r="U39" s="15"/>
      <c r="V39" s="15"/>
    </row>
    <row r="40" spans="1:22" s="3" customFormat="1" ht="10.199999999999999">
      <c r="A40" s="70" t="s">
        <v>126</v>
      </c>
      <c r="B40" s="85">
        <f>SUM(B35:B39)</f>
        <v>22253</v>
      </c>
      <c r="C40" s="63">
        <f t="shared" si="1"/>
        <v>4.2441560875064344E-2</v>
      </c>
      <c r="D40" s="85">
        <f>SUM(D35:D39)</f>
        <v>21347</v>
      </c>
      <c r="E40" s="334">
        <f>SUM(E35:E39)</f>
        <v>22233</v>
      </c>
      <c r="F40" s="512">
        <f t="shared" si="2"/>
        <v>-8.3849962089113106E-3</v>
      </c>
      <c r="G40" s="85">
        <f>SUM(G35:G39)</f>
        <v>22421</v>
      </c>
      <c r="H40" s="230">
        <f t="shared" ref="H40:J40" si="4">IF((+G40/I40)&lt;0,"n.m.",IF(G40&lt;0,(+G40/I40-1)*-1,(+G40/I40-1)))</f>
        <v>-3.0359382433075344E-2</v>
      </c>
      <c r="I40" s="85">
        <f>SUM(I35:I39)</f>
        <v>23123</v>
      </c>
      <c r="J40" s="230">
        <f t="shared" si="4"/>
        <v>1.885877946684289E-2</v>
      </c>
      <c r="K40" s="85">
        <f>SUM(K35:K39)</f>
        <v>22695</v>
      </c>
      <c r="L40" s="63">
        <f>(K40-M40)/M40</f>
        <v>-9.6104827146726149E-2</v>
      </c>
      <c r="M40" s="86">
        <v>25108</v>
      </c>
      <c r="N40" s="7"/>
      <c r="O40" s="7"/>
      <c r="P40" s="7"/>
      <c r="Q40" s="7"/>
      <c r="R40" s="7"/>
      <c r="S40" s="7"/>
      <c r="T40" s="7"/>
      <c r="U40" s="7"/>
      <c r="V40" s="7"/>
    </row>
    <row r="41" spans="1:22" s="91" customFormat="1" ht="10.199999999999999">
      <c r="A41" s="87" t="s">
        <v>136</v>
      </c>
      <c r="B41" s="88">
        <f>B40/Group!B152</f>
        <v>0.31936451441610814</v>
      </c>
      <c r="C41" s="74"/>
      <c r="D41" s="88">
        <f>D40/Group!D152</f>
        <v>0.31024008836181838</v>
      </c>
      <c r="E41" s="335">
        <f>E40/Group!E152</f>
        <v>0.3094837066217514</v>
      </c>
      <c r="F41" s="335"/>
      <c r="G41" s="88">
        <f>G40/Group!G152</f>
        <v>0.30581736343176702</v>
      </c>
      <c r="H41" s="74"/>
      <c r="I41" s="88">
        <f>I40/Group!I152</f>
        <v>0.31716182481551586</v>
      </c>
      <c r="J41" s="89"/>
      <c r="K41" s="88">
        <f>K40/Group!K152</f>
        <v>0.31046511627906975</v>
      </c>
      <c r="L41" s="89"/>
      <c r="M41" s="89">
        <f>M40/Group!M152</f>
        <v>0.33925145250641803</v>
      </c>
      <c r="N41" s="90"/>
      <c r="O41" s="90"/>
      <c r="P41" s="90"/>
      <c r="Q41" s="90"/>
      <c r="R41" s="90"/>
      <c r="S41" s="90"/>
      <c r="T41" s="90"/>
      <c r="U41" s="90"/>
      <c r="V41" s="90"/>
    </row>
    <row r="42" spans="1:22" ht="12" customHeight="1">
      <c r="A42" s="66"/>
      <c r="B42" s="69"/>
      <c r="C42" s="74"/>
      <c r="D42" s="69"/>
      <c r="E42" s="69"/>
      <c r="F42" s="69"/>
      <c r="G42" s="69"/>
      <c r="H42" s="68"/>
      <c r="I42" s="69"/>
      <c r="J42" s="68"/>
      <c r="K42" s="69"/>
      <c r="L42" s="68"/>
      <c r="M42" s="69"/>
    </row>
    <row r="43" spans="1:22" s="65" customFormat="1" ht="12" customHeight="1">
      <c r="A43" s="70" t="s">
        <v>3</v>
      </c>
      <c r="B43" s="71"/>
      <c r="C43" s="74"/>
      <c r="D43" s="71"/>
      <c r="E43" s="71"/>
      <c r="F43" s="71"/>
      <c r="G43" s="71"/>
      <c r="H43" s="68"/>
      <c r="I43" s="71"/>
      <c r="J43" s="68"/>
      <c r="K43" s="71"/>
      <c r="L43" s="68"/>
      <c r="M43" s="71"/>
    </row>
    <row r="44" spans="1:22" s="3" customFormat="1" ht="10.199999999999999">
      <c r="A44" s="72" t="s">
        <v>102</v>
      </c>
      <c r="B44" s="92">
        <v>822.79</v>
      </c>
      <c r="C44" s="74">
        <f t="shared" si="1"/>
        <v>0.11145782676824978</v>
      </c>
      <c r="D44" s="491">
        <v>740.28</v>
      </c>
      <c r="E44" s="435">
        <v>4654.2</v>
      </c>
      <c r="F44" s="492">
        <f t="shared" ref="F44:J70" si="5">IF((+E44/G44)&lt;0,"n.m.",IF(E44&lt;0,(+E44/G44-1)*-1,(+E44/G44-1)))</f>
        <v>-2.3685761749102641E-3</v>
      </c>
      <c r="G44" s="92">
        <v>4665.25</v>
      </c>
      <c r="H44" s="93">
        <f t="shared" si="5"/>
        <v>3.1113060604888165E-3</v>
      </c>
      <c r="I44" s="92">
        <v>4650.78</v>
      </c>
      <c r="J44" s="93">
        <f t="shared" si="5"/>
        <v>8.9494582723279592E-2</v>
      </c>
      <c r="K44" s="92">
        <v>4268.75</v>
      </c>
      <c r="L44" s="74"/>
      <c r="M44" s="235"/>
      <c r="N44" s="9"/>
      <c r="O44" s="7"/>
      <c r="P44" s="7"/>
      <c r="Q44" s="7"/>
      <c r="R44" s="7"/>
      <c r="S44" s="7"/>
      <c r="T44" s="7"/>
      <c r="U44" s="7"/>
      <c r="V44" s="7"/>
    </row>
    <row r="45" spans="1:22" s="3" customFormat="1" ht="10.199999999999999">
      <c r="A45" s="72" t="s">
        <v>103</v>
      </c>
      <c r="B45" s="92">
        <v>4.9000000000000004</v>
      </c>
      <c r="C45" s="74">
        <f t="shared" si="1"/>
        <v>0.13163972286374137</v>
      </c>
      <c r="D45" s="491">
        <v>4.33</v>
      </c>
      <c r="E45" s="435">
        <v>27.3</v>
      </c>
      <c r="F45" s="492">
        <f t="shared" si="5"/>
        <v>0.40432098765432101</v>
      </c>
      <c r="G45" s="92">
        <v>19.440000000000001</v>
      </c>
      <c r="H45" s="93">
        <f t="shared" si="5"/>
        <v>-3.6669970267591556E-2</v>
      </c>
      <c r="I45" s="92">
        <v>20.18</v>
      </c>
      <c r="J45" s="93">
        <f t="shared" si="5"/>
        <v>-3.4911525585844094E-2</v>
      </c>
      <c r="K45" s="92">
        <v>20.91</v>
      </c>
      <c r="L45" s="74"/>
      <c r="M45" s="235"/>
      <c r="N45" s="7"/>
      <c r="O45" s="7"/>
      <c r="P45" s="7"/>
      <c r="Q45" s="7"/>
      <c r="R45" s="7"/>
      <c r="S45" s="7"/>
      <c r="T45" s="7"/>
      <c r="U45" s="7"/>
      <c r="V45" s="7"/>
    </row>
    <row r="46" spans="1:22" s="3" customFormat="1" ht="10.199999999999999">
      <c r="A46" s="72" t="s">
        <v>104</v>
      </c>
      <c r="B46" s="92">
        <v>76.760000000000005</v>
      </c>
      <c r="C46" s="74">
        <f t="shared" si="1"/>
        <v>-0.12802453708962847</v>
      </c>
      <c r="D46" s="491">
        <v>88.03</v>
      </c>
      <c r="E46" s="435">
        <v>710.77</v>
      </c>
      <c r="F46" s="492">
        <f t="shared" si="5"/>
        <v>-0.16585102512645378</v>
      </c>
      <c r="G46" s="92">
        <v>852.09</v>
      </c>
      <c r="H46" s="93">
        <f t="shared" si="5"/>
        <v>0.22908823402137712</v>
      </c>
      <c r="I46" s="92">
        <v>693.27</v>
      </c>
      <c r="J46" s="93">
        <f t="shared" si="5"/>
        <v>3.6309007743131172E-2</v>
      </c>
      <c r="K46" s="92">
        <v>668.98</v>
      </c>
      <c r="L46" s="74"/>
      <c r="M46" s="235"/>
      <c r="N46" s="7"/>
      <c r="O46" s="7"/>
      <c r="P46" s="7"/>
      <c r="Q46" s="7"/>
      <c r="R46" s="7"/>
      <c r="S46" s="7"/>
      <c r="T46" s="7"/>
      <c r="U46" s="7"/>
      <c r="V46" s="7"/>
    </row>
    <row r="47" spans="1:22" s="3" customFormat="1" ht="10.199999999999999">
      <c r="A47" s="72" t="s">
        <v>105</v>
      </c>
      <c r="B47" s="92">
        <v>0.03</v>
      </c>
      <c r="C47" s="74"/>
      <c r="D47" s="491">
        <v>0</v>
      </c>
      <c r="E47" s="435">
        <v>0.11</v>
      </c>
      <c r="F47" s="492">
        <f t="shared" si="5"/>
        <v>-0.64516129032258063</v>
      </c>
      <c r="G47" s="92">
        <v>0.31</v>
      </c>
      <c r="H47" s="93"/>
      <c r="I47" s="92">
        <v>0</v>
      </c>
      <c r="J47" s="93">
        <f t="shared" si="5"/>
        <v>-1</v>
      </c>
      <c r="K47" s="92">
        <v>0.01</v>
      </c>
      <c r="L47" s="74"/>
      <c r="M47" s="235"/>
      <c r="N47" s="7"/>
      <c r="O47" s="7"/>
      <c r="P47" s="7"/>
      <c r="Q47" s="7"/>
      <c r="R47" s="7"/>
      <c r="S47" s="7"/>
      <c r="T47" s="7"/>
      <c r="U47" s="7"/>
      <c r="V47" s="7"/>
    </row>
    <row r="48" spans="1:22" s="11" customFormat="1" ht="10.199999999999999">
      <c r="A48" s="72" t="s">
        <v>106</v>
      </c>
      <c r="B48" s="92">
        <v>5.38</v>
      </c>
      <c r="C48" s="74"/>
      <c r="D48" s="491">
        <v>0</v>
      </c>
      <c r="E48" s="435">
        <v>14.84</v>
      </c>
      <c r="F48" s="492">
        <f t="shared" si="5"/>
        <v>16.255813953488371</v>
      </c>
      <c r="G48" s="92">
        <v>0.86</v>
      </c>
      <c r="H48" s="93">
        <f t="shared" si="5"/>
        <v>7.6</v>
      </c>
      <c r="I48" s="92">
        <v>0.1</v>
      </c>
      <c r="J48" s="93">
        <f t="shared" si="5"/>
        <v>-0.96598639455782309</v>
      </c>
      <c r="K48" s="92">
        <v>2.94</v>
      </c>
      <c r="L48" s="74"/>
      <c r="M48" s="235"/>
      <c r="N48" s="15"/>
      <c r="O48" s="15"/>
      <c r="P48" s="15"/>
      <c r="Q48" s="15"/>
      <c r="R48" s="15"/>
      <c r="S48" s="15"/>
      <c r="T48" s="15"/>
      <c r="U48" s="15"/>
      <c r="V48" s="15"/>
    </row>
    <row r="49" spans="1:22" s="11" customFormat="1" ht="10.199999999999999">
      <c r="A49" s="72" t="s">
        <v>154</v>
      </c>
      <c r="B49" s="92">
        <v>0</v>
      </c>
      <c r="C49" s="74">
        <f t="shared" si="1"/>
        <v>-1</v>
      </c>
      <c r="D49" s="491">
        <v>-0.37</v>
      </c>
      <c r="E49" s="435">
        <v>19.52</v>
      </c>
      <c r="F49" s="492">
        <f t="shared" si="5"/>
        <v>-0.49897330595482547</v>
      </c>
      <c r="G49" s="92">
        <v>38.96</v>
      </c>
      <c r="H49" s="93">
        <f t="shared" si="5"/>
        <v>-0.54517861312164362</v>
      </c>
      <c r="I49" s="92">
        <v>85.66</v>
      </c>
      <c r="J49" s="93">
        <f t="shared" si="5"/>
        <v>-0.39135995452607653</v>
      </c>
      <c r="K49" s="92">
        <v>140.74</v>
      </c>
      <c r="L49" s="74"/>
      <c r="M49" s="235"/>
      <c r="N49" s="15"/>
      <c r="O49" s="15"/>
      <c r="P49" s="15"/>
      <c r="Q49" s="15"/>
      <c r="R49" s="15"/>
      <c r="S49" s="15"/>
      <c r="T49" s="15"/>
      <c r="U49" s="15"/>
      <c r="V49" s="15"/>
    </row>
    <row r="50" spans="1:22" s="11" customFormat="1" ht="10.199999999999999">
      <c r="A50" s="72" t="s">
        <v>107</v>
      </c>
      <c r="B50" s="92">
        <v>0</v>
      </c>
      <c r="C50" s="74"/>
      <c r="D50" s="491">
        <v>0</v>
      </c>
      <c r="E50" s="435">
        <v>0</v>
      </c>
      <c r="F50" s="492">
        <f t="shared" si="5"/>
        <v>-1</v>
      </c>
      <c r="G50" s="92">
        <v>0.02</v>
      </c>
      <c r="H50" s="93"/>
      <c r="I50" s="92">
        <v>0</v>
      </c>
      <c r="J50" s="93"/>
      <c r="K50" s="92">
        <v>0</v>
      </c>
      <c r="L50" s="74"/>
      <c r="M50" s="235"/>
      <c r="N50" s="15"/>
      <c r="O50" s="15"/>
      <c r="P50" s="15"/>
      <c r="Q50" s="15"/>
      <c r="R50" s="15"/>
      <c r="S50" s="15"/>
      <c r="T50" s="15"/>
      <c r="U50" s="15"/>
      <c r="V50" s="15"/>
    </row>
    <row r="51" spans="1:22" s="11" customFormat="1" ht="10.199999999999999">
      <c r="A51" s="72" t="s">
        <v>108</v>
      </c>
      <c r="B51" s="92">
        <v>1.1399999999999999</v>
      </c>
      <c r="C51" s="74">
        <f t="shared" si="1"/>
        <v>-0.19718309859154937</v>
      </c>
      <c r="D51" s="491">
        <v>1.42</v>
      </c>
      <c r="E51" s="435">
        <v>5.68</v>
      </c>
      <c r="F51" s="492">
        <f t="shared" si="5"/>
        <v>-0.2855345911949686</v>
      </c>
      <c r="G51" s="92">
        <v>7.95</v>
      </c>
      <c r="H51" s="93">
        <f t="shared" si="5"/>
        <v>0.35665529010238894</v>
      </c>
      <c r="I51" s="92">
        <v>5.86</v>
      </c>
      <c r="J51" s="93">
        <f t="shared" si="5"/>
        <v>0.36279069767441863</v>
      </c>
      <c r="K51" s="92">
        <v>4.3</v>
      </c>
      <c r="L51" s="74"/>
      <c r="M51" s="235"/>
      <c r="N51" s="15"/>
      <c r="O51" s="15"/>
      <c r="P51" s="15"/>
      <c r="Q51" s="15"/>
      <c r="R51" s="15"/>
      <c r="S51" s="15"/>
      <c r="T51" s="15"/>
      <c r="U51" s="15"/>
      <c r="V51" s="15"/>
    </row>
    <row r="52" spans="1:22" s="11" customFormat="1" ht="10.199999999999999">
      <c r="A52" s="72" t="s">
        <v>109</v>
      </c>
      <c r="B52" s="92">
        <v>0</v>
      </c>
      <c r="C52" s="74"/>
      <c r="D52" s="491">
        <v>0</v>
      </c>
      <c r="E52" s="435">
        <v>0</v>
      </c>
      <c r="F52" s="492">
        <f t="shared" si="5"/>
        <v>-1</v>
      </c>
      <c r="G52" s="92">
        <v>0.19</v>
      </c>
      <c r="H52" s="93"/>
      <c r="I52" s="92">
        <v>0</v>
      </c>
      <c r="J52" s="93"/>
      <c r="K52" s="92">
        <v>0</v>
      </c>
      <c r="L52" s="74"/>
      <c r="M52" s="235"/>
      <c r="N52" s="15"/>
      <c r="O52" s="15"/>
      <c r="P52" s="15"/>
      <c r="Q52" s="15"/>
      <c r="R52" s="15"/>
      <c r="S52" s="15"/>
      <c r="T52" s="15"/>
      <c r="U52" s="15"/>
      <c r="V52" s="15"/>
    </row>
    <row r="53" spans="1:22" s="11" customFormat="1" ht="10.199999999999999">
      <c r="A53" s="72" t="s">
        <v>110</v>
      </c>
      <c r="B53" s="92">
        <v>0</v>
      </c>
      <c r="C53" s="74"/>
      <c r="D53" s="491">
        <v>0</v>
      </c>
      <c r="E53" s="435">
        <v>0</v>
      </c>
      <c r="F53" s="492"/>
      <c r="G53" s="92">
        <v>0</v>
      </c>
      <c r="H53" s="93"/>
      <c r="I53" s="92">
        <v>0</v>
      </c>
      <c r="J53" s="93">
        <f t="shared" si="5"/>
        <v>-1</v>
      </c>
      <c r="K53" s="92">
        <v>10.38</v>
      </c>
      <c r="L53" s="74"/>
      <c r="M53" s="235"/>
      <c r="N53" s="15"/>
      <c r="O53" s="15"/>
      <c r="P53" s="15"/>
      <c r="Q53" s="15"/>
      <c r="R53" s="15"/>
      <c r="S53" s="15"/>
      <c r="T53" s="15"/>
      <c r="U53" s="15"/>
      <c r="V53" s="15"/>
    </row>
    <row r="54" spans="1:22" s="11" customFormat="1" ht="10.199999999999999">
      <c r="A54" s="72" t="s">
        <v>111</v>
      </c>
      <c r="B54" s="92">
        <v>0</v>
      </c>
      <c r="C54" s="74"/>
      <c r="D54" s="491">
        <v>0</v>
      </c>
      <c r="E54" s="435">
        <v>0</v>
      </c>
      <c r="F54" s="492"/>
      <c r="G54" s="92">
        <v>0</v>
      </c>
      <c r="H54" s="93"/>
      <c r="I54" s="92">
        <v>0</v>
      </c>
      <c r="J54" s="93">
        <f t="shared" si="5"/>
        <v>-1</v>
      </c>
      <c r="K54" s="92">
        <v>-0.01</v>
      </c>
      <c r="L54" s="74"/>
      <c r="M54" s="235"/>
      <c r="N54" s="15"/>
      <c r="O54" s="15"/>
      <c r="P54" s="15"/>
      <c r="Q54" s="15"/>
      <c r="R54" s="15"/>
      <c r="S54" s="15"/>
      <c r="T54" s="15"/>
      <c r="U54" s="15"/>
      <c r="V54" s="15"/>
    </row>
    <row r="55" spans="1:22" s="11" customFormat="1" ht="10.199999999999999">
      <c r="A55" s="72" t="s">
        <v>112</v>
      </c>
      <c r="B55" s="92">
        <v>0</v>
      </c>
      <c r="C55" s="74"/>
      <c r="D55" s="491">
        <v>0</v>
      </c>
      <c r="E55" s="435">
        <v>0</v>
      </c>
      <c r="F55" s="492"/>
      <c r="G55" s="92">
        <v>0</v>
      </c>
      <c r="H55" s="93"/>
      <c r="I55" s="92">
        <v>0</v>
      </c>
      <c r="J55" s="93"/>
      <c r="K55" s="92">
        <v>0</v>
      </c>
      <c r="L55" s="74"/>
      <c r="M55" s="235"/>
      <c r="N55" s="15"/>
      <c r="O55" s="15"/>
      <c r="P55" s="15"/>
      <c r="Q55" s="15"/>
      <c r="R55" s="15"/>
      <c r="S55" s="15"/>
      <c r="T55" s="15"/>
      <c r="U55" s="15"/>
      <c r="V55" s="15"/>
    </row>
    <row r="56" spans="1:22" s="11" customFormat="1" ht="10.199999999999999">
      <c r="A56" s="72" t="s">
        <v>113</v>
      </c>
      <c r="B56" s="92">
        <v>6.06</v>
      </c>
      <c r="C56" s="74">
        <f t="shared" si="1"/>
        <v>-1.9417475728155331E-2</v>
      </c>
      <c r="D56" s="491">
        <v>6.18</v>
      </c>
      <c r="E56" s="435">
        <v>36.020000000000003</v>
      </c>
      <c r="F56" s="492">
        <f t="shared" si="5"/>
        <v>0.27234192864712137</v>
      </c>
      <c r="G56" s="92">
        <v>28.31</v>
      </c>
      <c r="H56" s="93">
        <f t="shared" si="5"/>
        <v>3.5448422545196756E-3</v>
      </c>
      <c r="I56" s="92">
        <v>28.21</v>
      </c>
      <c r="J56" s="93">
        <f t="shared" si="5"/>
        <v>-0.19857954545454548</v>
      </c>
      <c r="K56" s="92">
        <v>35.200000000000003</v>
      </c>
      <c r="L56" s="74"/>
      <c r="M56" s="235"/>
      <c r="N56" s="15"/>
      <c r="O56" s="15"/>
      <c r="P56" s="15"/>
      <c r="Q56" s="15"/>
      <c r="R56" s="15"/>
      <c r="S56" s="15"/>
      <c r="T56" s="15"/>
      <c r="U56" s="15"/>
      <c r="V56" s="15"/>
    </row>
    <row r="57" spans="1:22" s="11" customFormat="1" ht="10.199999999999999">
      <c r="A57" s="72" t="s">
        <v>114</v>
      </c>
      <c r="B57" s="94">
        <v>55.89</v>
      </c>
      <c r="C57" s="74">
        <f t="shared" si="1"/>
        <v>0.25285810356422322</v>
      </c>
      <c r="D57" s="336">
        <v>44.61</v>
      </c>
      <c r="E57" s="436">
        <v>240.47</v>
      </c>
      <c r="F57" s="492">
        <f t="shared" si="5"/>
        <v>5.9992947192100798E-2</v>
      </c>
      <c r="G57" s="94">
        <v>226.86</v>
      </c>
      <c r="H57" s="93">
        <f t="shared" si="5"/>
        <v>-0.1162102146558105</v>
      </c>
      <c r="I57" s="94">
        <v>256.69</v>
      </c>
      <c r="J57" s="93">
        <f t="shared" si="5"/>
        <v>-0.16699659256855426</v>
      </c>
      <c r="K57" s="94">
        <v>308.14999999999998</v>
      </c>
      <c r="L57" s="74"/>
      <c r="M57" s="236"/>
      <c r="N57" s="15"/>
      <c r="O57" s="15"/>
      <c r="P57" s="15"/>
      <c r="Q57" s="15"/>
      <c r="R57" s="15"/>
      <c r="S57" s="15"/>
      <c r="T57" s="15"/>
      <c r="U57" s="15"/>
      <c r="V57" s="15"/>
    </row>
    <row r="58" spans="1:22" s="11" customFormat="1" ht="10.199999999999999">
      <c r="A58" s="72" t="s">
        <v>115</v>
      </c>
      <c r="B58" s="92">
        <v>44.39</v>
      </c>
      <c r="C58" s="74">
        <f t="shared" si="1"/>
        <v>0.24901519414743944</v>
      </c>
      <c r="D58" s="491">
        <v>35.54</v>
      </c>
      <c r="E58" s="435">
        <v>159.47</v>
      </c>
      <c r="F58" s="492">
        <f t="shared" si="5"/>
        <v>-0.23927872918952442</v>
      </c>
      <c r="G58" s="92">
        <v>209.63</v>
      </c>
      <c r="H58" s="93">
        <f t="shared" si="5"/>
        <v>-0.14544861603685133</v>
      </c>
      <c r="I58" s="92">
        <v>245.31</v>
      </c>
      <c r="J58" s="93">
        <f t="shared" si="5"/>
        <v>-0.213144726712856</v>
      </c>
      <c r="K58" s="92">
        <v>311.76</v>
      </c>
      <c r="L58" s="74"/>
      <c r="M58" s="235"/>
      <c r="N58" s="15"/>
      <c r="O58" s="15"/>
      <c r="P58" s="15"/>
      <c r="Q58" s="15"/>
      <c r="R58" s="15"/>
      <c r="S58" s="15"/>
      <c r="T58" s="15"/>
      <c r="U58" s="15"/>
      <c r="V58" s="15"/>
    </row>
    <row r="59" spans="1:22" s="3" customFormat="1" ht="10.199999999999999">
      <c r="A59" s="72" t="s">
        <v>116</v>
      </c>
      <c r="B59" s="92">
        <v>0</v>
      </c>
      <c r="C59" s="74"/>
      <c r="D59" s="491">
        <v>0</v>
      </c>
      <c r="E59" s="435">
        <v>0.73</v>
      </c>
      <c r="F59" s="492">
        <f t="shared" si="5"/>
        <v>0.97297297297297303</v>
      </c>
      <c r="G59" s="92">
        <v>0.37</v>
      </c>
      <c r="H59" s="93">
        <f t="shared" si="5"/>
        <v>-0.84188034188034189</v>
      </c>
      <c r="I59" s="92">
        <v>2.34</v>
      </c>
      <c r="J59" s="93">
        <f t="shared" si="5"/>
        <v>-0.66475644699140402</v>
      </c>
      <c r="K59" s="92">
        <v>6.98</v>
      </c>
      <c r="L59" s="74"/>
      <c r="M59" s="235"/>
      <c r="N59" s="7"/>
      <c r="O59" s="7"/>
      <c r="P59" s="7"/>
      <c r="Q59" s="7"/>
      <c r="R59" s="7"/>
      <c r="S59" s="7"/>
      <c r="T59" s="7"/>
      <c r="U59" s="7"/>
      <c r="V59" s="7"/>
    </row>
    <row r="60" spans="1:22" s="11" customFormat="1" ht="10.199999999999999">
      <c r="A60" s="72" t="s">
        <v>117</v>
      </c>
      <c r="B60" s="92">
        <v>41.23</v>
      </c>
      <c r="C60" s="74">
        <f t="shared" si="1"/>
        <v>-0.28158215717023882</v>
      </c>
      <c r="D60" s="491">
        <v>57.39</v>
      </c>
      <c r="E60" s="435">
        <v>224.43</v>
      </c>
      <c r="F60" s="492">
        <f t="shared" si="5"/>
        <v>5.2624173350218184E-2</v>
      </c>
      <c r="G60" s="92">
        <v>213.21</v>
      </c>
      <c r="H60" s="93">
        <f t="shared" si="5"/>
        <v>0.11412447092020694</v>
      </c>
      <c r="I60" s="92">
        <v>191.37</v>
      </c>
      <c r="J60" s="93">
        <f t="shared" si="5"/>
        <v>0.28169580068314248</v>
      </c>
      <c r="K60" s="92">
        <v>149.31</v>
      </c>
      <c r="L60" s="74"/>
      <c r="M60" s="235"/>
      <c r="N60" s="15"/>
      <c r="O60" s="15"/>
      <c r="P60" s="15"/>
      <c r="Q60" s="15"/>
      <c r="R60" s="15"/>
      <c r="S60" s="15"/>
      <c r="T60" s="15"/>
      <c r="U60" s="15"/>
      <c r="V60" s="15"/>
    </row>
    <row r="61" spans="1:22" s="11" customFormat="1" ht="10.199999999999999">
      <c r="A61" s="72" t="s">
        <v>118</v>
      </c>
      <c r="B61" s="92">
        <v>7.8</v>
      </c>
      <c r="C61" s="74">
        <f t="shared" si="1"/>
        <v>5.290322580645161</v>
      </c>
      <c r="D61" s="491">
        <v>1.24</v>
      </c>
      <c r="E61" s="435">
        <v>28.55</v>
      </c>
      <c r="F61" s="492">
        <f t="shared" si="5"/>
        <v>-0.41495901639344257</v>
      </c>
      <c r="G61" s="92">
        <v>48.8</v>
      </c>
      <c r="H61" s="93">
        <f t="shared" si="5"/>
        <v>-0.2884222805482648</v>
      </c>
      <c r="I61" s="92">
        <v>68.58</v>
      </c>
      <c r="J61" s="93">
        <f t="shared" si="5"/>
        <v>-5.3662073966642687E-3</v>
      </c>
      <c r="K61" s="92">
        <v>68.95</v>
      </c>
      <c r="L61" s="74"/>
      <c r="M61" s="235"/>
      <c r="N61" s="15"/>
      <c r="O61" s="15"/>
      <c r="P61" s="15"/>
      <c r="Q61" s="15"/>
      <c r="R61" s="15"/>
      <c r="S61" s="15"/>
      <c r="T61" s="15"/>
      <c r="U61" s="15"/>
      <c r="V61" s="15"/>
    </row>
    <row r="62" spans="1:22" s="11" customFormat="1" ht="10.199999999999999">
      <c r="A62" s="72" t="s">
        <v>119</v>
      </c>
      <c r="B62" s="92">
        <v>3.71</v>
      </c>
      <c r="C62" s="74">
        <f t="shared" si="1"/>
        <v>8.152173913043459E-3</v>
      </c>
      <c r="D62" s="491">
        <v>3.68</v>
      </c>
      <c r="E62" s="435">
        <v>17.93</v>
      </c>
      <c r="F62" s="492">
        <f t="shared" si="5"/>
        <v>3.5817446562680599E-2</v>
      </c>
      <c r="G62" s="92">
        <v>17.309999999999999</v>
      </c>
      <c r="H62" s="93">
        <f t="shared" si="5"/>
        <v>0.26166180758017488</v>
      </c>
      <c r="I62" s="92">
        <v>13.72</v>
      </c>
      <c r="J62" s="93">
        <f t="shared" si="5"/>
        <v>0.97410071942446042</v>
      </c>
      <c r="K62" s="92">
        <v>6.95</v>
      </c>
      <c r="L62" s="74"/>
      <c r="M62" s="235"/>
      <c r="N62" s="15"/>
      <c r="O62" s="15"/>
      <c r="P62" s="15"/>
      <c r="Q62" s="15"/>
      <c r="R62" s="15"/>
      <c r="S62" s="15"/>
      <c r="T62" s="15"/>
      <c r="U62" s="15"/>
      <c r="V62" s="15"/>
    </row>
    <row r="63" spans="1:22" s="11" customFormat="1" ht="10.199999999999999">
      <c r="A63" s="72" t="s">
        <v>120</v>
      </c>
      <c r="B63" s="92">
        <v>2.52</v>
      </c>
      <c r="C63" s="74">
        <f t="shared" si="1"/>
        <v>1.2909090909090906</v>
      </c>
      <c r="D63" s="491">
        <v>1.1000000000000001</v>
      </c>
      <c r="E63" s="435">
        <v>7.75</v>
      </c>
      <c r="F63" s="492">
        <f t="shared" si="5"/>
        <v>-0.72478693181818188</v>
      </c>
      <c r="G63" s="92">
        <v>28.16</v>
      </c>
      <c r="H63" s="93">
        <f t="shared" si="5"/>
        <v>0.34736842105263177</v>
      </c>
      <c r="I63" s="92">
        <v>20.9</v>
      </c>
      <c r="J63" s="93">
        <f t="shared" si="5"/>
        <v>1.2692725298588488</v>
      </c>
      <c r="K63" s="92">
        <v>9.2100000000000009</v>
      </c>
      <c r="L63" s="80"/>
      <c r="M63" s="235"/>
      <c r="N63" s="15"/>
      <c r="O63" s="15"/>
      <c r="P63" s="15"/>
      <c r="Q63" s="15"/>
      <c r="R63" s="15"/>
      <c r="S63" s="15"/>
      <c r="T63" s="15"/>
      <c r="U63" s="15"/>
      <c r="V63" s="15"/>
    </row>
    <row r="64" spans="1:22" s="11" customFormat="1" ht="10.199999999999999">
      <c r="A64" s="72" t="s">
        <v>121</v>
      </c>
      <c r="B64" s="95">
        <v>14.65</v>
      </c>
      <c r="C64" s="74">
        <f t="shared" si="1"/>
        <v>1.0958512160228899</v>
      </c>
      <c r="D64" s="493">
        <v>6.99</v>
      </c>
      <c r="E64" s="437">
        <v>25.61</v>
      </c>
      <c r="F64" s="492">
        <f t="shared" si="5"/>
        <v>1.4297912713472489</v>
      </c>
      <c r="G64" s="95">
        <v>10.54</v>
      </c>
      <c r="H64" s="93">
        <f t="shared" si="5"/>
        <v>0.33586818757921422</v>
      </c>
      <c r="I64" s="95">
        <v>7.89</v>
      </c>
      <c r="J64" s="93">
        <f t="shared" si="5"/>
        <v>1.9222222222222221</v>
      </c>
      <c r="K64" s="95">
        <v>2.7</v>
      </c>
      <c r="L64" s="74"/>
      <c r="M64" s="237"/>
      <c r="N64" s="15"/>
      <c r="O64" s="15"/>
      <c r="P64" s="15"/>
      <c r="Q64" s="15"/>
      <c r="R64" s="15"/>
      <c r="S64" s="15"/>
      <c r="T64" s="15"/>
      <c r="U64" s="15"/>
      <c r="V64" s="15"/>
    </row>
    <row r="65" spans="1:22" s="11" customFormat="1" ht="10.199999999999999">
      <c r="A65" s="72" t="s">
        <v>122</v>
      </c>
      <c r="B65" s="95">
        <v>7.0000000000000007E-2</v>
      </c>
      <c r="C65" s="74">
        <f t="shared" si="1"/>
        <v>-0.95364238410596025</v>
      </c>
      <c r="D65" s="493">
        <v>1.51</v>
      </c>
      <c r="E65" s="437">
        <v>1.53</v>
      </c>
      <c r="F65" s="492">
        <f t="shared" si="5"/>
        <v>9.928571428571427</v>
      </c>
      <c r="G65" s="95">
        <v>0.14000000000000001</v>
      </c>
      <c r="H65" s="93">
        <f t="shared" si="5"/>
        <v>-0.91194968553459121</v>
      </c>
      <c r="I65" s="95">
        <v>1.59</v>
      </c>
      <c r="J65" s="93">
        <f t="shared" si="5"/>
        <v>-0.67551020408163265</v>
      </c>
      <c r="K65" s="95">
        <v>4.9000000000000004</v>
      </c>
      <c r="L65" s="74"/>
      <c r="M65" s="237"/>
      <c r="N65" s="15"/>
      <c r="O65" s="15"/>
      <c r="P65" s="15"/>
      <c r="Q65" s="15"/>
      <c r="R65" s="15"/>
      <c r="S65" s="15"/>
      <c r="T65" s="15"/>
      <c r="U65" s="15"/>
      <c r="V65" s="15"/>
    </row>
    <row r="66" spans="1:22" s="11" customFormat="1" ht="10.199999999999999">
      <c r="A66" s="79" t="s">
        <v>102</v>
      </c>
      <c r="B66" s="96">
        <f>B44</f>
        <v>822.79</v>
      </c>
      <c r="C66" s="74">
        <f t="shared" si="1"/>
        <v>0.11145782676824978</v>
      </c>
      <c r="D66" s="96">
        <f>D44</f>
        <v>740.28</v>
      </c>
      <c r="E66" s="337">
        <f>E44</f>
        <v>4654.2</v>
      </c>
      <c r="F66" s="492">
        <f t="shared" si="5"/>
        <v>-2.3685761749102641E-3</v>
      </c>
      <c r="G66" s="96">
        <f>G44</f>
        <v>4665.25</v>
      </c>
      <c r="H66" s="93">
        <f t="shared" si="5"/>
        <v>3.1113060604888165E-3</v>
      </c>
      <c r="I66" s="96">
        <f>I44</f>
        <v>4650.78</v>
      </c>
      <c r="J66" s="93">
        <f t="shared" si="5"/>
        <v>8.9494582723279592E-2</v>
      </c>
      <c r="K66" s="96">
        <f>K44</f>
        <v>4268.75</v>
      </c>
      <c r="L66" s="74"/>
      <c r="M66" s="84"/>
      <c r="N66" s="15"/>
      <c r="O66" s="15"/>
      <c r="P66" s="15"/>
      <c r="Q66" s="15"/>
      <c r="R66" s="15"/>
      <c r="S66" s="15"/>
      <c r="T66" s="15"/>
      <c r="U66" s="15"/>
      <c r="V66" s="15"/>
    </row>
    <row r="67" spans="1:22" s="11" customFormat="1" ht="10.199999999999999">
      <c r="A67" s="79" t="s">
        <v>103</v>
      </c>
      <c r="B67" s="96">
        <f>B45</f>
        <v>4.9000000000000004</v>
      </c>
      <c r="C67" s="74">
        <f t="shared" si="1"/>
        <v>0.13163972286374137</v>
      </c>
      <c r="D67" s="96">
        <f>D45</f>
        <v>4.33</v>
      </c>
      <c r="E67" s="337">
        <f>E45</f>
        <v>27.3</v>
      </c>
      <c r="F67" s="492">
        <f t="shared" si="5"/>
        <v>0.40432098765432101</v>
      </c>
      <c r="G67" s="96">
        <f>G45</f>
        <v>19.440000000000001</v>
      </c>
      <c r="H67" s="93">
        <f t="shared" si="5"/>
        <v>-3.6669970267591556E-2</v>
      </c>
      <c r="I67" s="96">
        <f>I45</f>
        <v>20.18</v>
      </c>
      <c r="J67" s="93">
        <f t="shared" si="5"/>
        <v>-3.4911525585844094E-2</v>
      </c>
      <c r="K67" s="96">
        <f>K45</f>
        <v>20.91</v>
      </c>
      <c r="L67" s="74"/>
      <c r="M67" s="84"/>
      <c r="N67" s="15"/>
      <c r="O67" s="15"/>
      <c r="P67" s="15"/>
      <c r="Q67" s="15"/>
      <c r="R67" s="15"/>
      <c r="S67" s="15"/>
      <c r="T67" s="15"/>
      <c r="U67" s="15"/>
      <c r="V67" s="15"/>
    </row>
    <row r="68" spans="1:22" s="3" customFormat="1" ht="10.199999999999999">
      <c r="A68" s="79" t="s">
        <v>123</v>
      </c>
      <c r="B68" s="94">
        <f>B46+B47+B48+B49+B50+B51+B52+B53+B54+B55</f>
        <v>83.31</v>
      </c>
      <c r="C68" s="74">
        <f t="shared" si="1"/>
        <v>-6.4773237539290429E-2</v>
      </c>
      <c r="D68" s="94">
        <f>D46+D47+D48+D49+D50+D51+D52+D53+D54+D55</f>
        <v>89.08</v>
      </c>
      <c r="E68" s="336">
        <f>E46+E47+E48+E49+E50+E51+E52+E53+E54+E55</f>
        <v>750.92</v>
      </c>
      <c r="F68" s="492">
        <f t="shared" si="5"/>
        <v>-0.16599657922210642</v>
      </c>
      <c r="G68" s="94">
        <f>G46+G47+G48+G49+G50+G51+G52+G53+G54+G55</f>
        <v>900.38000000000011</v>
      </c>
      <c r="H68" s="93">
        <f t="shared" si="5"/>
        <v>0.14714163768171362</v>
      </c>
      <c r="I68" s="94">
        <f>I46+I47+I48+I49+I50+I51+I52+I53+I54+I55</f>
        <v>784.89</v>
      </c>
      <c r="J68" s="93">
        <f t="shared" si="5"/>
        <v>-5.1309014431793476E-2</v>
      </c>
      <c r="K68" s="94">
        <f>K46+K47+K48+K49+K50+K51+K52+K53+K54+K55</f>
        <v>827.34</v>
      </c>
      <c r="L68" s="74"/>
      <c r="M68" s="78"/>
      <c r="N68" s="7"/>
      <c r="O68" s="7"/>
      <c r="P68" s="7"/>
      <c r="Q68" s="7"/>
      <c r="R68" s="7"/>
      <c r="S68" s="7"/>
      <c r="T68" s="7"/>
      <c r="U68" s="7"/>
      <c r="V68" s="7"/>
    </row>
    <row r="69" spans="1:22" s="3" customFormat="1" ht="10.199999999999999">
      <c r="A69" s="79" t="s">
        <v>124</v>
      </c>
      <c r="B69" s="94">
        <f>B56+B57+B58+B59+B60+B61</f>
        <v>155.37</v>
      </c>
      <c r="C69" s="74">
        <f t="shared" si="1"/>
        <v>7.1812913907284726E-2</v>
      </c>
      <c r="D69" s="94">
        <f>D56+D57+D58+D59+D60+D61</f>
        <v>144.96</v>
      </c>
      <c r="E69" s="336">
        <f>E56+E57+E58+E59+E60+E61</f>
        <v>689.67000000000007</v>
      </c>
      <c r="F69" s="492">
        <f t="shared" si="5"/>
        <v>-5.1582826810418148E-2</v>
      </c>
      <c r="G69" s="94">
        <f>G56+G57+G58+G59+G60+G61</f>
        <v>727.18</v>
      </c>
      <c r="H69" s="93">
        <f t="shared" si="5"/>
        <v>-8.2422712933754139E-2</v>
      </c>
      <c r="I69" s="94">
        <f>I56+I57+I58+I59+I60+I61</f>
        <v>792.50000000000011</v>
      </c>
      <c r="J69" s="93">
        <f t="shared" si="5"/>
        <v>-9.9789856307150315E-2</v>
      </c>
      <c r="K69" s="94">
        <f>K56+K57+K58+K59+K60+K61</f>
        <v>880.34999999999991</v>
      </c>
      <c r="L69" s="74"/>
      <c r="M69" s="78"/>
      <c r="N69" s="7"/>
      <c r="O69" s="7"/>
      <c r="P69" s="7"/>
      <c r="Q69" s="7"/>
      <c r="R69" s="7"/>
      <c r="S69" s="7"/>
      <c r="T69" s="7"/>
      <c r="U69" s="7"/>
      <c r="V69" s="7"/>
    </row>
    <row r="70" spans="1:22" s="11" customFormat="1" ht="10.199999999999999">
      <c r="A70" s="79" t="s">
        <v>125</v>
      </c>
      <c r="B70" s="94">
        <f>B62+B63+B64+B65</f>
        <v>20.950000000000003</v>
      </c>
      <c r="C70" s="74">
        <f t="shared" si="1"/>
        <v>0.57756024096385561</v>
      </c>
      <c r="D70" s="94">
        <f>D62+D63+D64+D65</f>
        <v>13.28</v>
      </c>
      <c r="E70" s="336">
        <f>E62+E63+E64+E65</f>
        <v>52.82</v>
      </c>
      <c r="F70" s="492">
        <f t="shared" si="5"/>
        <v>-5.9305431878895809E-2</v>
      </c>
      <c r="G70" s="94">
        <f>G62+G63+G64+G65</f>
        <v>56.15</v>
      </c>
      <c r="H70" s="93">
        <f t="shared" si="5"/>
        <v>0.27324263038548735</v>
      </c>
      <c r="I70" s="94">
        <f>I62+I63+I64+I65</f>
        <v>44.1</v>
      </c>
      <c r="J70" s="93">
        <f t="shared" si="5"/>
        <v>0.85606060606060619</v>
      </c>
      <c r="K70" s="94">
        <f>K62+K63+K64+K65</f>
        <v>23.759999999999998</v>
      </c>
      <c r="L70" s="74"/>
      <c r="M70" s="78"/>
      <c r="N70" s="15"/>
      <c r="O70" s="15"/>
      <c r="P70" s="15"/>
      <c r="Q70" s="15"/>
      <c r="R70" s="15"/>
      <c r="S70" s="15"/>
      <c r="T70" s="15"/>
      <c r="U70" s="15"/>
      <c r="V70" s="15"/>
    </row>
    <row r="71" spans="1:22" s="65" customFormat="1" ht="10.199999999999999" customHeight="1">
      <c r="A71" s="70" t="s">
        <v>129</v>
      </c>
      <c r="B71" s="97">
        <f>SUM(B66:B70)</f>
        <v>1087.32</v>
      </c>
      <c r="C71" s="63">
        <f t="shared" si="1"/>
        <v>9.6166060105047579E-2</v>
      </c>
      <c r="D71" s="97">
        <f>SUM(D66:D70)</f>
        <v>991.93000000000006</v>
      </c>
      <c r="E71" s="438">
        <f>SUM(E66:E70)</f>
        <v>6174.91</v>
      </c>
      <c r="F71" s="512">
        <f t="shared" ref="F71" si="6">IF((+E71/G71)&lt;0,"n.m.",IF(E71&lt;0,(+E71/G71-1)*-1,(+E71/G71-1)))</f>
        <v>-3.0382827711827098E-2</v>
      </c>
      <c r="G71" s="97">
        <f>SUM(G66:G70)</f>
        <v>6368.4</v>
      </c>
      <c r="H71" s="230">
        <f t="shared" ref="H71:J71" si="7">IF((+G71/I71)&lt;0,"n.m.",IF(G71&lt;0,(+G71/I71-1)*-1,(+G71/I71-1)))</f>
        <v>1.2070020421298455E-2</v>
      </c>
      <c r="I71" s="97">
        <f>SUM(I66:I70)</f>
        <v>6292.4500000000007</v>
      </c>
      <c r="J71" s="230">
        <f t="shared" si="7"/>
        <v>4.5064780414242556E-2</v>
      </c>
      <c r="K71" s="97">
        <f>SUM(K66:K70)</f>
        <v>6021.1100000000006</v>
      </c>
      <c r="L71" s="63">
        <f>(K71-M71)/M71</f>
        <v>-3.4640710450412386E-2</v>
      </c>
      <c r="M71" s="97">
        <v>6237.1699999999992</v>
      </c>
    </row>
    <row r="72" spans="1:22" ht="10.199999999999999" customHeight="1">
      <c r="A72" s="72"/>
      <c r="B72" s="79"/>
      <c r="C72" s="74"/>
      <c r="D72" s="79"/>
      <c r="E72" s="79"/>
      <c r="F72" s="79"/>
      <c r="G72" s="79"/>
      <c r="H72" s="68"/>
      <c r="I72" s="79"/>
      <c r="J72" s="68"/>
      <c r="K72" s="79"/>
      <c r="L72" s="68"/>
      <c r="M72" s="79"/>
    </row>
    <row r="73" spans="1:22" ht="10.199999999999999" customHeight="1">
      <c r="A73" s="98" t="s">
        <v>4</v>
      </c>
      <c r="B73" s="99"/>
      <c r="C73" s="74"/>
      <c r="D73" s="99"/>
      <c r="E73" s="99"/>
      <c r="F73" s="99"/>
      <c r="G73" s="99"/>
      <c r="H73" s="68"/>
      <c r="I73" s="99"/>
      <c r="J73" s="68"/>
      <c r="K73" s="99"/>
      <c r="L73" s="68"/>
      <c r="M73" s="99"/>
    </row>
    <row r="74" spans="1:22" s="3" customFormat="1" ht="10.199999999999999">
      <c r="A74" s="72" t="s">
        <v>102</v>
      </c>
      <c r="B74" s="92">
        <v>5613.25</v>
      </c>
      <c r="C74" s="74">
        <f t="shared" si="1"/>
        <v>0.36625289034927588</v>
      </c>
      <c r="D74" s="491">
        <v>4108.5</v>
      </c>
      <c r="E74" s="439">
        <v>5175.1400000000003</v>
      </c>
      <c r="F74" s="492">
        <f>IF((+E74/G74)&lt;0,"n.m.",IF(E74&lt;0,(+E74/G74-1)*-1,(+E74/G74-1)))</f>
        <v>0.42683367291515606</v>
      </c>
      <c r="G74" s="92">
        <v>3627.01</v>
      </c>
      <c r="H74" s="93">
        <f>IF((+G74/I74)&lt;0,"n.m.",IF(G74&lt;0,(+G74/I74-1)*-1,(+G74/I74-1)))</f>
        <v>-2.9767621024586077E-2</v>
      </c>
      <c r="I74" s="92">
        <v>3738.29</v>
      </c>
      <c r="J74" s="93">
        <f t="shared" ref="H74:J100" si="8">IF((+I74/K74)&lt;0,"n.m.",IF(I74&lt;0,(+I74/K74-1)*-1,(+I74/K74-1)))</f>
        <v>-2.9746424770951796E-2</v>
      </c>
      <c r="K74" s="92">
        <v>3852.9</v>
      </c>
      <c r="L74" s="74"/>
      <c r="M74" s="75"/>
      <c r="N74" s="7"/>
      <c r="O74" s="7"/>
      <c r="P74" s="7"/>
      <c r="Q74" s="7"/>
      <c r="R74" s="7"/>
      <c r="S74" s="7"/>
      <c r="T74" s="7"/>
      <c r="U74" s="7"/>
      <c r="V74" s="7"/>
    </row>
    <row r="75" spans="1:22" s="3" customFormat="1" ht="10.199999999999999">
      <c r="A75" s="72" t="s">
        <v>103</v>
      </c>
      <c r="B75" s="92">
        <v>25.69</v>
      </c>
      <c r="C75" s="74">
        <f t="shared" si="1"/>
        <v>0.35854045478582774</v>
      </c>
      <c r="D75" s="491">
        <v>18.91</v>
      </c>
      <c r="E75" s="439">
        <v>30.28</v>
      </c>
      <c r="F75" s="492">
        <f t="shared" ref="F75:F101" si="9">IF((+E75/G75)&lt;0,"n.m.",IF(E75&lt;0,(+E75/G75-1)*-1,(+E75/G75-1)))</f>
        <v>0.42628356099858689</v>
      </c>
      <c r="G75" s="92">
        <v>21.23</v>
      </c>
      <c r="H75" s="93">
        <f t="shared" si="8"/>
        <v>4.2162162162162158</v>
      </c>
      <c r="I75" s="92">
        <v>4.07</v>
      </c>
      <c r="J75" s="93">
        <f t="shared" si="8"/>
        <v>-0.35804416403785488</v>
      </c>
      <c r="K75" s="92">
        <v>6.34</v>
      </c>
      <c r="L75" s="74"/>
      <c r="M75" s="75"/>
      <c r="N75" s="7"/>
      <c r="O75" s="7"/>
      <c r="P75" s="7"/>
      <c r="Q75" s="7"/>
      <c r="R75" s="7"/>
      <c r="S75" s="7"/>
      <c r="T75" s="7"/>
      <c r="U75" s="7"/>
      <c r="V75" s="7"/>
    </row>
    <row r="76" spans="1:22" s="3" customFormat="1" ht="10.199999999999999">
      <c r="A76" s="72" t="s">
        <v>104</v>
      </c>
      <c r="B76" s="92">
        <v>1051.43</v>
      </c>
      <c r="C76" s="74">
        <f t="shared" si="1"/>
        <v>-3.0341316757813486E-2</v>
      </c>
      <c r="D76" s="491">
        <v>1084.33</v>
      </c>
      <c r="E76" s="439">
        <v>853.2</v>
      </c>
      <c r="F76" s="492">
        <f t="shared" si="9"/>
        <v>6.4929229386654796E-2</v>
      </c>
      <c r="G76" s="92">
        <v>801.18</v>
      </c>
      <c r="H76" s="93">
        <f t="shared" si="8"/>
        <v>2.3545193229000283E-2</v>
      </c>
      <c r="I76" s="92">
        <v>782.75</v>
      </c>
      <c r="J76" s="93">
        <f t="shared" si="8"/>
        <v>0.47513333207696506</v>
      </c>
      <c r="K76" s="92">
        <v>530.63</v>
      </c>
      <c r="L76" s="74"/>
      <c r="M76" s="75"/>
      <c r="N76" s="7"/>
      <c r="O76" s="7"/>
      <c r="P76" s="7"/>
      <c r="Q76" s="7"/>
      <c r="R76" s="7"/>
      <c r="S76" s="7"/>
      <c r="T76" s="7"/>
      <c r="U76" s="7"/>
      <c r="V76" s="7"/>
    </row>
    <row r="77" spans="1:22" s="3" customFormat="1" ht="10.199999999999999">
      <c r="A77" s="72" t="s">
        <v>105</v>
      </c>
      <c r="B77" s="92">
        <v>0.02</v>
      </c>
      <c r="C77" s="74">
        <f t="shared" si="1"/>
        <v>-0.8</v>
      </c>
      <c r="D77" s="491">
        <v>0.1</v>
      </c>
      <c r="E77" s="439">
        <v>0</v>
      </c>
      <c r="F77" s="492">
        <f t="shared" si="9"/>
        <v>-1</v>
      </c>
      <c r="G77" s="92">
        <v>0.1</v>
      </c>
      <c r="H77" s="93"/>
      <c r="I77" s="92">
        <v>0</v>
      </c>
      <c r="J77" s="93"/>
      <c r="K77" s="92">
        <v>0</v>
      </c>
      <c r="L77" s="74"/>
      <c r="M77" s="75"/>
      <c r="N77" s="7"/>
      <c r="O77" s="7"/>
      <c r="P77" s="7"/>
      <c r="Q77" s="7"/>
      <c r="R77" s="7"/>
      <c r="S77" s="7"/>
      <c r="T77" s="7"/>
      <c r="U77" s="7"/>
      <c r="V77" s="7"/>
    </row>
    <row r="78" spans="1:22" s="11" customFormat="1" ht="10.199999999999999">
      <c r="A78" s="72" t="s">
        <v>106</v>
      </c>
      <c r="B78" s="92">
        <v>4.37</v>
      </c>
      <c r="C78" s="74"/>
      <c r="D78" s="491">
        <v>0</v>
      </c>
      <c r="E78" s="439">
        <v>9.74</v>
      </c>
      <c r="F78" s="492"/>
      <c r="G78" s="92">
        <v>0</v>
      </c>
      <c r="H78" s="93">
        <f t="shared" si="8"/>
        <v>-1</v>
      </c>
      <c r="I78" s="92">
        <v>0.79</v>
      </c>
      <c r="J78" s="93"/>
      <c r="K78" s="92">
        <v>0</v>
      </c>
      <c r="L78" s="74"/>
      <c r="M78" s="75"/>
      <c r="N78" s="15"/>
      <c r="O78" s="15"/>
      <c r="P78" s="15"/>
      <c r="Q78" s="15"/>
      <c r="R78" s="15"/>
      <c r="S78" s="15"/>
      <c r="T78" s="15"/>
      <c r="U78" s="15"/>
      <c r="V78" s="15"/>
    </row>
    <row r="79" spans="1:22" s="11" customFormat="1" ht="10.199999999999999">
      <c r="A79" s="72" t="s">
        <v>154</v>
      </c>
      <c r="B79" s="92">
        <v>0</v>
      </c>
      <c r="C79" s="74">
        <f t="shared" ref="C79:C94" si="10">IF((+B79/D79)&lt;0,"n.m.",IF(B79&lt;0,(+B79/D79-1)*-1,(+B79/D79-1)))</f>
        <v>-1</v>
      </c>
      <c r="D79" s="491">
        <v>4.9000000000000004</v>
      </c>
      <c r="E79" s="439">
        <v>17.61</v>
      </c>
      <c r="F79" s="492">
        <f t="shared" si="9"/>
        <v>1.5821114369501466</v>
      </c>
      <c r="G79" s="92">
        <v>6.82</v>
      </c>
      <c r="H79" s="93">
        <f t="shared" si="8"/>
        <v>-0.81750066898581752</v>
      </c>
      <c r="I79" s="92">
        <v>37.369999999999997</v>
      </c>
      <c r="J79" s="93">
        <f t="shared" si="8"/>
        <v>-0.64184397163120566</v>
      </c>
      <c r="K79" s="92">
        <v>104.34</v>
      </c>
      <c r="L79" s="74"/>
      <c r="M79" s="75"/>
      <c r="N79" s="15"/>
      <c r="O79" s="15"/>
      <c r="P79" s="15"/>
      <c r="Q79" s="15"/>
      <c r="R79" s="15"/>
      <c r="S79" s="15"/>
      <c r="T79" s="15"/>
      <c r="U79" s="15"/>
      <c r="V79" s="15"/>
    </row>
    <row r="80" spans="1:22" s="11" customFormat="1" ht="10.199999999999999">
      <c r="A80" s="72" t="s">
        <v>107</v>
      </c>
      <c r="B80" s="92">
        <v>0</v>
      </c>
      <c r="C80" s="74"/>
      <c r="D80" s="491">
        <v>0</v>
      </c>
      <c r="E80" s="439">
        <v>0</v>
      </c>
      <c r="F80" s="492"/>
      <c r="G80" s="92">
        <v>0</v>
      </c>
      <c r="H80" s="93"/>
      <c r="I80" s="92">
        <v>0</v>
      </c>
      <c r="J80" s="93"/>
      <c r="K80" s="92">
        <v>0</v>
      </c>
      <c r="L80" s="74"/>
      <c r="M80" s="75"/>
      <c r="N80" s="15"/>
      <c r="O80" s="15"/>
      <c r="P80" s="15"/>
      <c r="Q80" s="15"/>
      <c r="R80" s="15"/>
      <c r="S80" s="15"/>
      <c r="T80" s="15"/>
      <c r="U80" s="15"/>
      <c r="V80" s="15"/>
    </row>
    <row r="81" spans="1:22" s="11" customFormat="1" ht="10.199999999999999">
      <c r="A81" s="72" t="s">
        <v>108</v>
      </c>
      <c r="B81" s="92">
        <v>2.2999999999999998</v>
      </c>
      <c r="C81" s="74">
        <f t="shared" si="10"/>
        <v>-0.10156250000000011</v>
      </c>
      <c r="D81" s="491">
        <v>2.56</v>
      </c>
      <c r="E81" s="439">
        <v>5.23</v>
      </c>
      <c r="F81" s="492">
        <f t="shared" si="9"/>
        <v>0.70358306188925113</v>
      </c>
      <c r="G81" s="92">
        <v>3.07</v>
      </c>
      <c r="H81" s="93">
        <f t="shared" si="8"/>
        <v>0.83832335329341312</v>
      </c>
      <c r="I81" s="92">
        <v>1.67</v>
      </c>
      <c r="J81" s="93">
        <f t="shared" si="8"/>
        <v>8.8235294117647047</v>
      </c>
      <c r="K81" s="92">
        <v>0.17</v>
      </c>
      <c r="L81" s="74"/>
      <c r="M81" s="75"/>
      <c r="N81" s="15"/>
      <c r="O81" s="15"/>
      <c r="P81" s="15"/>
      <c r="Q81" s="15"/>
      <c r="R81" s="15"/>
      <c r="S81" s="15"/>
      <c r="T81" s="15"/>
      <c r="U81" s="15"/>
      <c r="V81" s="15"/>
    </row>
    <row r="82" spans="1:22" s="11" customFormat="1" ht="10.199999999999999">
      <c r="A82" s="72" t="s">
        <v>109</v>
      </c>
      <c r="B82" s="92">
        <v>0</v>
      </c>
      <c r="C82" s="74"/>
      <c r="D82" s="491">
        <v>0</v>
      </c>
      <c r="E82" s="439">
        <v>0</v>
      </c>
      <c r="F82" s="492"/>
      <c r="G82" s="92">
        <v>0</v>
      </c>
      <c r="H82" s="93"/>
      <c r="I82" s="92">
        <v>0</v>
      </c>
      <c r="J82" s="93"/>
      <c r="K82" s="92">
        <v>0</v>
      </c>
      <c r="L82" s="74"/>
      <c r="M82" s="75"/>
      <c r="N82" s="15"/>
      <c r="O82" s="15"/>
      <c r="P82" s="15"/>
      <c r="Q82" s="15"/>
      <c r="R82" s="15"/>
      <c r="S82" s="15"/>
      <c r="T82" s="15"/>
      <c r="U82" s="15"/>
      <c r="V82" s="15"/>
    </row>
    <row r="83" spans="1:22" s="11" customFormat="1" ht="10.199999999999999">
      <c r="A83" s="72" t="s">
        <v>110</v>
      </c>
      <c r="B83" s="92">
        <v>0</v>
      </c>
      <c r="C83" s="74"/>
      <c r="D83" s="491">
        <v>0</v>
      </c>
      <c r="E83" s="439">
        <v>0</v>
      </c>
      <c r="F83" s="492"/>
      <c r="G83" s="92">
        <v>0</v>
      </c>
      <c r="H83" s="93"/>
      <c r="I83" s="92">
        <v>0</v>
      </c>
      <c r="J83" s="93"/>
      <c r="K83" s="92">
        <v>0</v>
      </c>
      <c r="L83" s="74"/>
      <c r="M83" s="75"/>
      <c r="N83" s="15"/>
      <c r="O83" s="15"/>
      <c r="P83" s="15"/>
      <c r="Q83" s="15"/>
      <c r="R83" s="15"/>
      <c r="S83" s="15"/>
      <c r="T83" s="15"/>
      <c r="U83" s="15"/>
      <c r="V83" s="15"/>
    </row>
    <row r="84" spans="1:22" s="11" customFormat="1" ht="10.199999999999999">
      <c r="A84" s="72" t="s">
        <v>111</v>
      </c>
      <c r="B84" s="92">
        <v>0</v>
      </c>
      <c r="C84" s="74"/>
      <c r="D84" s="491">
        <v>0</v>
      </c>
      <c r="E84" s="439">
        <v>0</v>
      </c>
      <c r="F84" s="492"/>
      <c r="G84" s="92">
        <v>0</v>
      </c>
      <c r="H84" s="93"/>
      <c r="I84" s="92">
        <v>0</v>
      </c>
      <c r="J84" s="93"/>
      <c r="K84" s="92">
        <v>0</v>
      </c>
      <c r="L84" s="74"/>
      <c r="M84" s="75"/>
      <c r="N84" s="15"/>
      <c r="O84" s="15"/>
      <c r="P84" s="15"/>
      <c r="Q84" s="15"/>
      <c r="R84" s="15"/>
      <c r="S84" s="15"/>
      <c r="T84" s="15"/>
      <c r="U84" s="15"/>
      <c r="V84" s="15"/>
    </row>
    <row r="85" spans="1:22" s="11" customFormat="1" ht="10.199999999999999">
      <c r="A85" s="72" t="s">
        <v>112</v>
      </c>
      <c r="B85" s="92">
        <v>0</v>
      </c>
      <c r="C85" s="74"/>
      <c r="D85" s="491">
        <v>0</v>
      </c>
      <c r="E85" s="439">
        <v>0</v>
      </c>
      <c r="F85" s="492"/>
      <c r="G85" s="92">
        <v>0</v>
      </c>
      <c r="H85" s="93"/>
      <c r="I85" s="92">
        <v>0</v>
      </c>
      <c r="J85" s="93"/>
      <c r="K85" s="92">
        <v>0</v>
      </c>
      <c r="L85" s="74"/>
      <c r="M85" s="75"/>
      <c r="N85" s="15"/>
      <c r="O85" s="15"/>
      <c r="P85" s="15"/>
      <c r="Q85" s="15"/>
      <c r="R85" s="15"/>
      <c r="S85" s="15"/>
      <c r="T85" s="15"/>
      <c r="U85" s="15"/>
      <c r="V85" s="15"/>
    </row>
    <row r="86" spans="1:22" s="11" customFormat="1" ht="10.199999999999999">
      <c r="A86" s="72" t="s">
        <v>113</v>
      </c>
      <c r="B86" s="92">
        <v>12.48</v>
      </c>
      <c r="C86" s="74">
        <f t="shared" si="10"/>
        <v>-0.36391437308868502</v>
      </c>
      <c r="D86" s="491">
        <v>19.62</v>
      </c>
      <c r="E86" s="439">
        <v>13.83</v>
      </c>
      <c r="F86" s="492">
        <f t="shared" si="9"/>
        <v>-6.4276048714479006E-2</v>
      </c>
      <c r="G86" s="92">
        <v>14.78</v>
      </c>
      <c r="H86" s="93">
        <f t="shared" si="8"/>
        <v>0.54764397905759155</v>
      </c>
      <c r="I86" s="92">
        <v>9.5500000000000007</v>
      </c>
      <c r="J86" s="93">
        <f t="shared" si="8"/>
        <v>-8.7870105062082149E-2</v>
      </c>
      <c r="K86" s="92">
        <v>10.47</v>
      </c>
      <c r="L86" s="74"/>
      <c r="M86" s="75"/>
      <c r="N86" s="15"/>
      <c r="O86" s="15"/>
      <c r="P86" s="15"/>
      <c r="Q86" s="15"/>
      <c r="R86" s="15"/>
      <c r="S86" s="15"/>
      <c r="T86" s="15"/>
      <c r="U86" s="15"/>
      <c r="V86" s="15"/>
    </row>
    <row r="87" spans="1:22" s="11" customFormat="1" ht="10.199999999999999">
      <c r="A87" s="72" t="s">
        <v>114</v>
      </c>
      <c r="B87" s="94">
        <v>389.05</v>
      </c>
      <c r="C87" s="74">
        <f t="shared" si="10"/>
        <v>8.8799955222209848E-2</v>
      </c>
      <c r="D87" s="336">
        <v>357.32</v>
      </c>
      <c r="E87" s="440">
        <v>388.55</v>
      </c>
      <c r="F87" s="492">
        <f t="shared" si="9"/>
        <v>0.230328361989804</v>
      </c>
      <c r="G87" s="94">
        <v>315.81</v>
      </c>
      <c r="H87" s="93">
        <f t="shared" si="8"/>
        <v>-4.0412020297165063E-2</v>
      </c>
      <c r="I87" s="94">
        <v>329.11</v>
      </c>
      <c r="J87" s="93">
        <f t="shared" si="8"/>
        <v>0.14409372175484947</v>
      </c>
      <c r="K87" s="94">
        <v>287.66000000000003</v>
      </c>
      <c r="L87" s="74"/>
      <c r="M87" s="78"/>
      <c r="N87" s="15"/>
      <c r="O87" s="15"/>
      <c r="P87" s="15"/>
      <c r="Q87" s="15"/>
      <c r="R87" s="15"/>
      <c r="S87" s="15"/>
      <c r="T87" s="15"/>
      <c r="U87" s="15"/>
      <c r="V87" s="15"/>
    </row>
    <row r="88" spans="1:22" s="11" customFormat="1" ht="10.199999999999999">
      <c r="A88" s="72" t="s">
        <v>115</v>
      </c>
      <c r="B88" s="92">
        <v>367.18</v>
      </c>
      <c r="C88" s="74">
        <f t="shared" si="10"/>
        <v>0.25300300300300305</v>
      </c>
      <c r="D88" s="491">
        <v>293.04000000000002</v>
      </c>
      <c r="E88" s="439">
        <v>359.04</v>
      </c>
      <c r="F88" s="492">
        <f t="shared" si="9"/>
        <v>0.4042553191489362</v>
      </c>
      <c r="G88" s="92">
        <v>255.68</v>
      </c>
      <c r="H88" s="93">
        <f t="shared" si="8"/>
        <v>-0.16689475399152809</v>
      </c>
      <c r="I88" s="92">
        <v>306.89999999999998</v>
      </c>
      <c r="J88" s="93">
        <f t="shared" si="8"/>
        <v>0.14195348837209298</v>
      </c>
      <c r="K88" s="92">
        <v>268.75</v>
      </c>
      <c r="L88" s="74"/>
      <c r="M88" s="75"/>
      <c r="N88" s="15"/>
      <c r="O88" s="15"/>
      <c r="P88" s="15"/>
      <c r="Q88" s="15"/>
      <c r="R88" s="15"/>
      <c r="S88" s="15"/>
      <c r="T88" s="15"/>
      <c r="U88" s="15"/>
      <c r="V88" s="15"/>
    </row>
    <row r="89" spans="1:22" s="3" customFormat="1" ht="10.199999999999999">
      <c r="A89" s="72" t="s">
        <v>116</v>
      </c>
      <c r="B89" s="92">
        <v>0</v>
      </c>
      <c r="C89" s="74"/>
      <c r="D89" s="491">
        <v>0</v>
      </c>
      <c r="E89" s="439">
        <v>0</v>
      </c>
      <c r="F89" s="492"/>
      <c r="G89" s="92">
        <v>0</v>
      </c>
      <c r="H89" s="93"/>
      <c r="I89" s="92">
        <v>0</v>
      </c>
      <c r="J89" s="93">
        <f t="shared" si="8"/>
        <v>-1</v>
      </c>
      <c r="K89" s="92">
        <v>3.11</v>
      </c>
      <c r="L89" s="74"/>
      <c r="M89" s="75"/>
      <c r="N89" s="7"/>
      <c r="O89" s="7"/>
      <c r="P89" s="7"/>
      <c r="Q89" s="7"/>
      <c r="R89" s="7"/>
      <c r="S89" s="7"/>
      <c r="T89" s="7"/>
      <c r="U89" s="7"/>
      <c r="V89" s="7"/>
    </row>
    <row r="90" spans="1:22" s="11" customFormat="1" ht="10.199999999999999">
      <c r="A90" s="72" t="s">
        <v>117</v>
      </c>
      <c r="B90" s="92">
        <v>118.8</v>
      </c>
      <c r="C90" s="74">
        <f t="shared" si="10"/>
        <v>-0.54494963036733446</v>
      </c>
      <c r="D90" s="491">
        <v>261.07</v>
      </c>
      <c r="E90" s="439">
        <v>148.53</v>
      </c>
      <c r="F90" s="492">
        <f t="shared" si="9"/>
        <v>-0.51023840142447319</v>
      </c>
      <c r="G90" s="92">
        <v>303.27</v>
      </c>
      <c r="H90" s="93">
        <f t="shared" si="8"/>
        <v>-0.30004385256306687</v>
      </c>
      <c r="I90" s="92">
        <v>433.27</v>
      </c>
      <c r="J90" s="93">
        <f t="shared" si="8"/>
        <v>0.53898341206976164</v>
      </c>
      <c r="K90" s="92">
        <v>281.52999999999997</v>
      </c>
      <c r="L90" s="74"/>
      <c r="M90" s="75"/>
      <c r="N90" s="15"/>
      <c r="O90" s="15"/>
      <c r="P90" s="15"/>
      <c r="Q90" s="15"/>
      <c r="R90" s="15"/>
      <c r="S90" s="15"/>
      <c r="T90" s="15"/>
      <c r="U90" s="15"/>
      <c r="V90" s="15"/>
    </row>
    <row r="91" spans="1:22" s="11" customFormat="1" ht="10.199999999999999">
      <c r="A91" s="72" t="s">
        <v>118</v>
      </c>
      <c r="B91" s="92">
        <v>57.79</v>
      </c>
      <c r="C91" s="74">
        <f t="shared" si="10"/>
        <v>1.3415721231766611</v>
      </c>
      <c r="D91" s="491">
        <v>24.68</v>
      </c>
      <c r="E91" s="439">
        <v>11</v>
      </c>
      <c r="F91" s="492">
        <f t="shared" si="9"/>
        <v>6.6925315227934101E-2</v>
      </c>
      <c r="G91" s="92">
        <v>10.31</v>
      </c>
      <c r="H91" s="93">
        <f t="shared" si="8"/>
        <v>-0.25343953656770457</v>
      </c>
      <c r="I91" s="92">
        <v>13.81</v>
      </c>
      <c r="J91" s="93">
        <f t="shared" si="8"/>
        <v>-0.62746155921230107</v>
      </c>
      <c r="K91" s="92">
        <v>37.07</v>
      </c>
      <c r="L91" s="74"/>
      <c r="M91" s="75"/>
      <c r="N91" s="15"/>
      <c r="O91" s="15"/>
      <c r="P91" s="15"/>
      <c r="Q91" s="15"/>
      <c r="R91" s="15"/>
      <c r="S91" s="15"/>
      <c r="T91" s="15"/>
      <c r="U91" s="15"/>
      <c r="V91" s="15"/>
    </row>
    <row r="92" spans="1:22" s="11" customFormat="1" ht="10.199999999999999">
      <c r="A92" s="72" t="s">
        <v>119</v>
      </c>
      <c r="B92" s="92">
        <v>1.71</v>
      </c>
      <c r="C92" s="74">
        <f t="shared" si="10"/>
        <v>-0.80978865406006673</v>
      </c>
      <c r="D92" s="491">
        <v>8.99</v>
      </c>
      <c r="E92" s="439">
        <v>4.29</v>
      </c>
      <c r="F92" s="492">
        <f t="shared" si="9"/>
        <v>-0.28260869565217395</v>
      </c>
      <c r="G92" s="92">
        <v>5.98</v>
      </c>
      <c r="H92" s="93">
        <f t="shared" si="8"/>
        <v>1.7305936073059365</v>
      </c>
      <c r="I92" s="92">
        <v>2.19</v>
      </c>
      <c r="J92" s="93">
        <f t="shared" si="8"/>
        <v>-0.81795511221945139</v>
      </c>
      <c r="K92" s="92">
        <v>12.03</v>
      </c>
      <c r="L92" s="74"/>
      <c r="M92" s="75"/>
      <c r="N92" s="15"/>
      <c r="O92" s="15"/>
      <c r="P92" s="15"/>
      <c r="Q92" s="15"/>
      <c r="R92" s="15"/>
      <c r="S92" s="15"/>
      <c r="T92" s="15"/>
      <c r="U92" s="15"/>
      <c r="V92" s="15"/>
    </row>
    <row r="93" spans="1:22" s="11" customFormat="1" ht="10.199999999999999">
      <c r="A93" s="72" t="s">
        <v>120</v>
      </c>
      <c r="B93" s="92">
        <v>4.57</v>
      </c>
      <c r="C93" s="74">
        <f t="shared" si="10"/>
        <v>-0.3581460674157303</v>
      </c>
      <c r="D93" s="491">
        <v>7.12</v>
      </c>
      <c r="E93" s="439">
        <v>2.64</v>
      </c>
      <c r="F93" s="492">
        <f t="shared" si="9"/>
        <v>5.179282868525914E-2</v>
      </c>
      <c r="G93" s="92">
        <v>2.5099999999999998</v>
      </c>
      <c r="H93" s="93">
        <f t="shared" si="8"/>
        <v>-0.88898717381689518</v>
      </c>
      <c r="I93" s="92">
        <v>22.61</v>
      </c>
      <c r="J93" s="93">
        <f t="shared" si="8"/>
        <v>-0.59588918677390534</v>
      </c>
      <c r="K93" s="92">
        <v>55.95</v>
      </c>
      <c r="L93" s="80"/>
      <c r="M93" s="75"/>
      <c r="N93" s="15"/>
      <c r="O93" s="15"/>
      <c r="P93" s="15"/>
      <c r="Q93" s="15"/>
      <c r="R93" s="15"/>
      <c r="S93" s="15"/>
      <c r="T93" s="15"/>
      <c r="U93" s="15"/>
      <c r="V93" s="15"/>
    </row>
    <row r="94" spans="1:22" s="11" customFormat="1" ht="10.199999999999999">
      <c r="A94" s="72" t="s">
        <v>121</v>
      </c>
      <c r="B94" s="95">
        <v>3.43</v>
      </c>
      <c r="C94" s="74">
        <f t="shared" si="10"/>
        <v>-0.80511363636363642</v>
      </c>
      <c r="D94" s="493">
        <v>17.600000000000001</v>
      </c>
      <c r="E94" s="441">
        <v>11.33</v>
      </c>
      <c r="F94" s="492">
        <f t="shared" si="9"/>
        <v>-0.61851851851851847</v>
      </c>
      <c r="G94" s="95">
        <v>29.7</v>
      </c>
      <c r="H94" s="93"/>
      <c r="I94" s="95">
        <v>0</v>
      </c>
      <c r="J94" s="93"/>
      <c r="K94" s="95">
        <v>0</v>
      </c>
      <c r="L94" s="74"/>
      <c r="M94" s="82"/>
      <c r="N94" s="15"/>
      <c r="O94" s="15"/>
      <c r="P94" s="15"/>
      <c r="Q94" s="15"/>
      <c r="R94" s="15"/>
      <c r="S94" s="15"/>
      <c r="T94" s="15"/>
      <c r="U94" s="15"/>
      <c r="V94" s="15"/>
    </row>
    <row r="95" spans="1:22" s="11" customFormat="1" ht="10.199999999999999">
      <c r="A95" s="72" t="s">
        <v>122</v>
      </c>
      <c r="B95" s="95">
        <v>0</v>
      </c>
      <c r="C95" s="74"/>
      <c r="D95" s="493">
        <v>0</v>
      </c>
      <c r="E95" s="439">
        <v>0</v>
      </c>
      <c r="F95" s="492"/>
      <c r="G95" s="92">
        <v>0</v>
      </c>
      <c r="H95" s="93"/>
      <c r="I95" s="95">
        <v>0</v>
      </c>
      <c r="J95" s="93">
        <f t="shared" si="8"/>
        <v>-1</v>
      </c>
      <c r="K95" s="95">
        <v>0.31</v>
      </c>
      <c r="L95" s="74"/>
      <c r="M95" s="82"/>
      <c r="N95" s="15"/>
      <c r="O95" s="15"/>
      <c r="P95" s="15"/>
      <c r="Q95" s="15"/>
      <c r="R95" s="15"/>
      <c r="S95" s="15"/>
      <c r="T95" s="15"/>
      <c r="U95" s="15"/>
      <c r="V95" s="15"/>
    </row>
    <row r="96" spans="1:22" s="11" customFormat="1" ht="10.199999999999999">
      <c r="A96" s="79" t="s">
        <v>102</v>
      </c>
      <c r="B96" s="96">
        <f>B74</f>
        <v>5613.25</v>
      </c>
      <c r="C96" s="74">
        <f t="shared" ref="C96:C101" si="11">IF((+B96/D96)&lt;0,"n.m.",IF(B96&lt;0,(+B96/D96-1)*-1,(+B96/D96-1)))</f>
        <v>0.36625289034927588</v>
      </c>
      <c r="D96" s="96">
        <f>D74</f>
        <v>4108.5</v>
      </c>
      <c r="E96" s="337">
        <f>E74</f>
        <v>5175.1400000000003</v>
      </c>
      <c r="F96" s="492">
        <f t="shared" si="9"/>
        <v>0.42683367291515606</v>
      </c>
      <c r="G96" s="96">
        <f>G74</f>
        <v>3627.01</v>
      </c>
      <c r="H96" s="93">
        <f t="shared" si="8"/>
        <v>-2.9767621024586077E-2</v>
      </c>
      <c r="I96" s="96">
        <f>I74</f>
        <v>3738.29</v>
      </c>
      <c r="J96" s="93">
        <f t="shared" si="8"/>
        <v>-2.9746424770951796E-2</v>
      </c>
      <c r="K96" s="96">
        <f>K74</f>
        <v>3852.9</v>
      </c>
      <c r="L96" s="74"/>
      <c r="M96" s="84"/>
      <c r="N96" s="15"/>
      <c r="O96" s="15"/>
      <c r="P96" s="15"/>
      <c r="Q96" s="15"/>
      <c r="R96" s="15"/>
      <c r="S96" s="15"/>
      <c r="T96" s="15"/>
      <c r="U96" s="15"/>
      <c r="V96" s="15"/>
    </row>
    <row r="97" spans="1:22" s="11" customFormat="1" ht="10.199999999999999">
      <c r="A97" s="79" t="s">
        <v>103</v>
      </c>
      <c r="B97" s="96">
        <f>B75</f>
        <v>25.69</v>
      </c>
      <c r="C97" s="74">
        <f t="shared" si="11"/>
        <v>0.35854045478582774</v>
      </c>
      <c r="D97" s="96">
        <f>D75</f>
        <v>18.91</v>
      </c>
      <c r="E97" s="337">
        <f>E75</f>
        <v>30.28</v>
      </c>
      <c r="F97" s="492">
        <f t="shared" si="9"/>
        <v>0.42628356099858689</v>
      </c>
      <c r="G97" s="96">
        <f>G75</f>
        <v>21.23</v>
      </c>
      <c r="H97" s="93">
        <f t="shared" si="8"/>
        <v>4.2162162162162158</v>
      </c>
      <c r="I97" s="96">
        <f>I75</f>
        <v>4.07</v>
      </c>
      <c r="J97" s="93">
        <f t="shared" si="8"/>
        <v>-0.35804416403785488</v>
      </c>
      <c r="K97" s="96">
        <f>K75</f>
        <v>6.34</v>
      </c>
      <c r="L97" s="74"/>
      <c r="M97" s="84"/>
      <c r="N97" s="15"/>
      <c r="O97" s="15"/>
      <c r="P97" s="15"/>
      <c r="Q97" s="15"/>
      <c r="R97" s="15"/>
      <c r="S97" s="15"/>
      <c r="T97" s="15"/>
      <c r="U97" s="15"/>
      <c r="V97" s="15"/>
    </row>
    <row r="98" spans="1:22" s="3" customFormat="1" ht="10.199999999999999">
      <c r="A98" s="79" t="s">
        <v>123</v>
      </c>
      <c r="B98" s="94">
        <f>B76+B77+B78+B79+B80+B81+B82+B83+B84+B85</f>
        <v>1058.1199999999999</v>
      </c>
      <c r="C98" s="74">
        <f t="shared" si="11"/>
        <v>-3.0928023885189893E-2</v>
      </c>
      <c r="D98" s="94">
        <f>D76+D77+D78+D79+D80+D81+D82+D83+D84+D85</f>
        <v>1091.8899999999999</v>
      </c>
      <c r="E98" s="336">
        <f>E76+E77+E78+E79+E80+E81+E82+E83+E84+E85</f>
        <v>885.78000000000009</v>
      </c>
      <c r="F98" s="492">
        <f t="shared" si="9"/>
        <v>9.1978253633640206E-2</v>
      </c>
      <c r="G98" s="94">
        <f>G76+G77+G78+G79+G80+G81+G82+G83+G84+G85</f>
        <v>811.17000000000007</v>
      </c>
      <c r="H98" s="93">
        <f t="shared" si="8"/>
        <v>-1.3870991271365485E-2</v>
      </c>
      <c r="I98" s="94">
        <f>I76+I77+I78+I79+I80+I81+I82+I83+I84+I85</f>
        <v>822.57999999999993</v>
      </c>
      <c r="J98" s="93">
        <f t="shared" si="8"/>
        <v>0.2951160374090751</v>
      </c>
      <c r="K98" s="94">
        <f>K76+K77+K78+K79+K80+K81+K82+K83+K84+K85</f>
        <v>635.14</v>
      </c>
      <c r="L98" s="74"/>
      <c r="M98" s="78"/>
      <c r="N98" s="7"/>
      <c r="O98" s="7"/>
      <c r="P98" s="7"/>
      <c r="Q98" s="7"/>
      <c r="R98" s="7"/>
      <c r="S98" s="7"/>
      <c r="T98" s="7"/>
      <c r="U98" s="7"/>
      <c r="V98" s="7"/>
    </row>
    <row r="99" spans="1:22" s="3" customFormat="1" ht="10.199999999999999">
      <c r="A99" s="79" t="s">
        <v>124</v>
      </c>
      <c r="B99" s="94">
        <f>B86+B87+B88+B89+B90+B91</f>
        <v>945.3</v>
      </c>
      <c r="C99" s="74">
        <f t="shared" si="11"/>
        <v>-1.0913123999455876E-2</v>
      </c>
      <c r="D99" s="94">
        <f>D86+D87+D88+D89+D90+D91</f>
        <v>955.7299999999999</v>
      </c>
      <c r="E99" s="336">
        <f>E86+E87+E88+E89+E90+E91</f>
        <v>920.95</v>
      </c>
      <c r="F99" s="492">
        <f t="shared" si="9"/>
        <v>2.3448352503195213E-2</v>
      </c>
      <c r="G99" s="94">
        <f>G86+G87+G88+G89+G90+G91</f>
        <v>899.84999999999991</v>
      </c>
      <c r="H99" s="93">
        <f t="shared" si="8"/>
        <v>-0.17644420852247766</v>
      </c>
      <c r="I99" s="249">
        <f>I86+I87+I88+I89+I90+I91</f>
        <v>1092.6399999999999</v>
      </c>
      <c r="J99" s="93">
        <f t="shared" si="8"/>
        <v>0.22963346425235454</v>
      </c>
      <c r="K99" s="249">
        <f>K86+K87+K88+K89+K90+K91</f>
        <v>888.59000000000015</v>
      </c>
      <c r="L99" s="74"/>
      <c r="M99" s="78"/>
      <c r="N99" s="7"/>
      <c r="O99" s="7"/>
      <c r="P99" s="7"/>
      <c r="Q99" s="7"/>
      <c r="R99" s="7"/>
      <c r="S99" s="7"/>
      <c r="T99" s="7"/>
      <c r="U99" s="7"/>
      <c r="V99" s="7"/>
    </row>
    <row r="100" spans="1:22" s="11" customFormat="1" ht="10.199999999999999">
      <c r="A100" s="79" t="s">
        <v>125</v>
      </c>
      <c r="B100" s="249">
        <f>B92+B93+B94+B95</f>
        <v>9.7100000000000009</v>
      </c>
      <c r="C100" s="80">
        <f t="shared" si="11"/>
        <v>-0.71195490952239693</v>
      </c>
      <c r="D100" s="249">
        <f>D92+D93+D94+D95</f>
        <v>33.71</v>
      </c>
      <c r="E100" s="249">
        <f>E92+E93+E94+E95</f>
        <v>18.259999999999998</v>
      </c>
      <c r="F100" s="492">
        <f t="shared" si="9"/>
        <v>-0.52186436239853373</v>
      </c>
      <c r="G100" s="249">
        <f>G92+G93+G94+G95</f>
        <v>38.19</v>
      </c>
      <c r="H100" s="250">
        <f t="shared" si="8"/>
        <v>0.53991935483870956</v>
      </c>
      <c r="I100" s="560">
        <f>I92+I93+I94+I95</f>
        <v>24.8</v>
      </c>
      <c r="J100" s="250">
        <f t="shared" si="8"/>
        <v>-0.63684287597012745</v>
      </c>
      <c r="K100" s="560">
        <f>K92+K93+K94+K95</f>
        <v>68.290000000000006</v>
      </c>
      <c r="L100" s="80"/>
      <c r="M100" s="78"/>
      <c r="N100" s="15"/>
      <c r="O100" s="15"/>
      <c r="P100" s="15"/>
      <c r="Q100" s="15"/>
      <c r="R100" s="15"/>
      <c r="S100" s="15"/>
      <c r="T100" s="15"/>
      <c r="U100" s="15"/>
      <c r="V100" s="15"/>
    </row>
    <row r="101" spans="1:22" s="65" customFormat="1" ht="10.199999999999999" customHeight="1">
      <c r="A101" s="61" t="s">
        <v>130</v>
      </c>
      <c r="B101" s="488">
        <f>SUM(B96:B100)</f>
        <v>7652.07</v>
      </c>
      <c r="C101" s="63">
        <f t="shared" si="11"/>
        <v>0.2324674571652221</v>
      </c>
      <c r="D101" s="488">
        <f>SUM(D96:D100)</f>
        <v>6208.7399999999989</v>
      </c>
      <c r="E101" s="488">
        <f>SUM(E96:E100)</f>
        <v>7030.41</v>
      </c>
      <c r="F101" s="561">
        <f t="shared" si="9"/>
        <v>0.30254286746519199</v>
      </c>
      <c r="G101" s="488">
        <f>SUM(G96:G100)</f>
        <v>5397.45</v>
      </c>
      <c r="H101" s="561">
        <f t="shared" ref="H101:J101" si="12">IF((+G101/I101)&lt;0,"n.m.",IF(G101&lt;0,(+G101/I101-1)*-1,(+G101/I101-1)))</f>
        <v>-5.014272188765978E-2</v>
      </c>
      <c r="I101" s="488">
        <f>SUM(I96:I100)</f>
        <v>5682.38</v>
      </c>
      <c r="J101" s="561">
        <f t="shared" si="12"/>
        <v>4.2397537450057365E-2</v>
      </c>
      <c r="K101" s="488">
        <f>SUM(K96:K100)</f>
        <v>5451.26</v>
      </c>
      <c r="L101" s="63">
        <f>(K101-M101)/M101</f>
        <v>0.1294390161026992</v>
      </c>
      <c r="M101" s="62">
        <v>4826.5200000000004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7" fitToWidth="0" orientation="landscape" r:id="rId1"/>
  <headerFooter alignWithMargins="0">
    <oddHeader>&amp;A</oddHeader>
  </headerFooter>
  <rowBreaks count="2" manualBreakCount="2">
    <brk id="42" max="12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"/>
  <sheetViews>
    <sheetView view="pageBreakPreview" zoomScaleNormal="100" zoomScaleSheetLayoutView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baseColWidth="10" defaultColWidth="20.6640625" defaultRowHeight="12" customHeight="1" outlineLevelRow="1"/>
  <cols>
    <col min="1" max="1" width="20.6640625" style="148" customWidth="1"/>
    <col min="2" max="12" width="10.88671875" style="60" customWidth="1"/>
    <col min="13" max="13" width="10.88671875" style="102" customWidth="1"/>
    <col min="14" max="16384" width="20.6640625" style="148"/>
  </cols>
  <sheetData>
    <row r="1" spans="1:23" s="100" customFormat="1" ht="24.75" customHeight="1">
      <c r="A1" s="147" t="s">
        <v>138</v>
      </c>
      <c r="B1" s="272" t="s">
        <v>151</v>
      </c>
      <c r="C1" s="272" t="s">
        <v>150</v>
      </c>
      <c r="D1" s="272" t="s">
        <v>145</v>
      </c>
      <c r="E1" s="272">
        <v>2016</v>
      </c>
      <c r="F1" s="272" t="s">
        <v>149</v>
      </c>
      <c r="G1" s="1">
        <v>2015</v>
      </c>
      <c r="H1" s="1" t="s">
        <v>146</v>
      </c>
      <c r="I1" s="1">
        <v>2014</v>
      </c>
      <c r="J1" s="1" t="s">
        <v>1</v>
      </c>
      <c r="K1" s="1">
        <v>2013</v>
      </c>
      <c r="L1" s="1" t="s">
        <v>2</v>
      </c>
      <c r="M1" s="1">
        <v>2012</v>
      </c>
    </row>
    <row r="2" spans="1:23" ht="3" hidden="1" customHeight="1" outlineLevel="1"/>
    <row r="3" spans="1:23" s="153" customFormat="1" ht="10.199999999999999" customHeight="1" collapsed="1">
      <c r="A3" s="149" t="s">
        <v>3</v>
      </c>
      <c r="B3" s="150">
        <f>B71</f>
        <v>641.86999999999989</v>
      </c>
      <c r="C3" s="232">
        <f t="shared" ref="C3:C7" si="0">IF((+B3/D3)&lt;0,"n.m.",IF(B3&lt;0,(+B3/D3-1)*-1,(+B3/D3-1)))</f>
        <v>5.1039790404453722E-2</v>
      </c>
      <c r="D3" s="150">
        <f>D71</f>
        <v>610.70000000000005</v>
      </c>
      <c r="E3" s="442">
        <f>E71</f>
        <v>4000.9800000000005</v>
      </c>
      <c r="F3" s="514">
        <f t="shared" ref="F3:J7" si="1">IF((+E3/G3)&lt;0,"n.m.",IF(E3&lt;0,(+E3/G3-1)*-1,(+E3/G3-1)))</f>
        <v>-0.11778052668831973</v>
      </c>
      <c r="G3" s="150">
        <f>G71</f>
        <v>4535.13</v>
      </c>
      <c r="H3" s="232">
        <f t="shared" si="1"/>
        <v>8.7352546274096277E-2</v>
      </c>
      <c r="I3" s="150">
        <f>I71</f>
        <v>4170.7999999999993</v>
      </c>
      <c r="J3" s="232">
        <f t="shared" si="1"/>
        <v>-9.1993660414163347E-2</v>
      </c>
      <c r="K3" s="150">
        <f>K71</f>
        <v>4593.3600000000006</v>
      </c>
      <c r="L3" s="152">
        <f>(K3-M3)/M3</f>
        <v>-3.414400282605845E-2</v>
      </c>
      <c r="M3" s="150">
        <v>4755.74</v>
      </c>
    </row>
    <row r="4" spans="1:23" s="153" customFormat="1" ht="10.199999999999999" customHeight="1">
      <c r="A4" s="149" t="s">
        <v>4</v>
      </c>
      <c r="B4" s="150">
        <f>B101</f>
        <v>4147.63</v>
      </c>
      <c r="C4" s="232">
        <f t="shared" si="0"/>
        <v>0.12922749375166753</v>
      </c>
      <c r="D4" s="150">
        <f>D101</f>
        <v>3672.98</v>
      </c>
      <c r="E4" s="442">
        <f>E101</f>
        <v>3482.61</v>
      </c>
      <c r="F4" s="514">
        <f t="shared" si="1"/>
        <v>1.4838459215802402E-3</v>
      </c>
      <c r="G4" s="150">
        <f>G101</f>
        <v>3477.4500000000007</v>
      </c>
      <c r="H4" s="232">
        <f t="shared" si="1"/>
        <v>-0.16050464595841418</v>
      </c>
      <c r="I4" s="150">
        <f>I101</f>
        <v>4142.3099999999995</v>
      </c>
      <c r="J4" s="232">
        <f t="shared" si="1"/>
        <v>8.8511830307871575E-2</v>
      </c>
      <c r="K4" s="150">
        <f>K101</f>
        <v>3805.48</v>
      </c>
      <c r="L4" s="152">
        <f>(K4-M4)/M4</f>
        <v>-0.12034802548241839</v>
      </c>
      <c r="M4" s="150">
        <v>4326.12</v>
      </c>
    </row>
    <row r="5" spans="1:23" s="153" customFormat="1" ht="10.199999999999999" customHeight="1">
      <c r="A5" s="149" t="s">
        <v>5</v>
      </c>
      <c r="B5" s="150">
        <v>630.13</v>
      </c>
      <c r="C5" s="232">
        <f t="shared" si="0"/>
        <v>9.6412165924276039E-2</v>
      </c>
      <c r="D5" s="500">
        <v>574.72</v>
      </c>
      <c r="E5" s="445">
        <v>3888.52</v>
      </c>
      <c r="F5" s="514">
        <f t="shared" si="1"/>
        <v>-0.11871904993937477</v>
      </c>
      <c r="G5" s="150">
        <v>4412.3500000000004</v>
      </c>
      <c r="H5" s="232">
        <f t="shared" si="1"/>
        <v>0.10392565555397937</v>
      </c>
      <c r="I5" s="150">
        <v>3996.9630000000002</v>
      </c>
      <c r="J5" s="232">
        <f t="shared" si="1"/>
        <v>-9.6170844964842628E-2</v>
      </c>
      <c r="K5" s="150">
        <v>4422.2550000000001</v>
      </c>
      <c r="L5" s="152">
        <f>(K5-M5)/M5</f>
        <v>-7.7241608119471783E-2</v>
      </c>
      <c r="M5" s="150">
        <v>4792.43</v>
      </c>
    </row>
    <row r="6" spans="1:23" s="153" customFormat="1" ht="10.199999999999999" customHeight="1">
      <c r="A6" s="149" t="s">
        <v>132</v>
      </c>
      <c r="B6" s="500">
        <v>-24.324000000000002</v>
      </c>
      <c r="C6" s="232">
        <f t="shared" si="0"/>
        <v>0.44642694583522979</v>
      </c>
      <c r="D6" s="500">
        <v>-43.94</v>
      </c>
      <c r="E6" s="445">
        <v>188</v>
      </c>
      <c r="F6" s="514">
        <f t="shared" si="1"/>
        <v>-4.5917745929925702E-2</v>
      </c>
      <c r="G6" s="150">
        <v>197.048</v>
      </c>
      <c r="H6" s="232">
        <f t="shared" si="1"/>
        <v>0.16855052008587057</v>
      </c>
      <c r="I6" s="150">
        <v>168.626</v>
      </c>
      <c r="J6" s="232">
        <f t="shared" si="1"/>
        <v>0.21985907953180828</v>
      </c>
      <c r="K6" s="150">
        <v>138.23400000000001</v>
      </c>
      <c r="L6" s="152">
        <f>(K6-M6)/M6</f>
        <v>-7.1538435705410103E-2</v>
      </c>
      <c r="M6" s="150">
        <v>148.88499999999999</v>
      </c>
    </row>
    <row r="7" spans="1:23" s="153" customFormat="1" ht="10.199999999999999" customHeight="1">
      <c r="A7" s="149" t="s">
        <v>142</v>
      </c>
      <c r="B7" s="500">
        <v>-24.324000000000002</v>
      </c>
      <c r="C7" s="232">
        <f t="shared" si="0"/>
        <v>0.44642694583522979</v>
      </c>
      <c r="D7" s="500">
        <v>-43.94</v>
      </c>
      <c r="E7" s="445">
        <v>188</v>
      </c>
      <c r="F7" s="514">
        <f t="shared" si="1"/>
        <v>-4.5917745929925702E-2</v>
      </c>
      <c r="G7" s="150">
        <v>197.048</v>
      </c>
      <c r="H7" s="232">
        <f t="shared" si="1"/>
        <v>0.16855052008587057</v>
      </c>
      <c r="I7" s="150">
        <v>168.626</v>
      </c>
      <c r="J7" s="232">
        <f t="shared" si="1"/>
        <v>0.21985907953180828</v>
      </c>
      <c r="K7" s="150">
        <v>138.23400000000001</v>
      </c>
      <c r="L7" s="152">
        <f>(K7-M7)/M7</f>
        <v>-7.1538435705410103E-2</v>
      </c>
      <c r="M7" s="150">
        <v>148.88499999999999</v>
      </c>
    </row>
    <row r="8" spans="1:23" ht="10.199999999999999" customHeight="1">
      <c r="A8" s="154" t="s">
        <v>133</v>
      </c>
      <c r="B8" s="155">
        <f>B6/B5</f>
        <v>-3.8601558408582357E-2</v>
      </c>
      <c r="C8" s="152"/>
      <c r="D8" s="155">
        <f>D6/D5</f>
        <v>-7.6454621380846313E-2</v>
      </c>
      <c r="E8" s="443">
        <f>E6/E5</f>
        <v>4.8347443243187641E-2</v>
      </c>
      <c r="F8" s="155"/>
      <c r="G8" s="155">
        <f>G6/G5</f>
        <v>4.465828866703684E-2</v>
      </c>
      <c r="H8" s="152"/>
      <c r="I8" s="155">
        <f>I6/I5</f>
        <v>4.2188531642649678E-2</v>
      </c>
      <c r="J8" s="155"/>
      <c r="K8" s="155">
        <f>K6/K5</f>
        <v>3.1258713032152149E-2</v>
      </c>
      <c r="L8" s="155"/>
      <c r="M8" s="155">
        <f>M6/M5</f>
        <v>3.106670311303451E-2</v>
      </c>
    </row>
    <row r="9" spans="1:23" ht="10.199999999999999" customHeight="1">
      <c r="A9" s="154" t="s">
        <v>134</v>
      </c>
      <c r="B9" s="156">
        <f>B3/Group!B2</f>
        <v>0.26449342547150761</v>
      </c>
      <c r="C9" s="156"/>
      <c r="D9" s="156">
        <f>D3/Group!D2</f>
        <v>0.27058880869145258</v>
      </c>
      <c r="E9" s="444">
        <f>E3/Group!E2</f>
        <v>0.29656594048045259</v>
      </c>
      <c r="F9" s="156"/>
      <c r="G9" s="156">
        <f>G3/Group!G2</f>
        <v>0.31736922103660242</v>
      </c>
      <c r="H9" s="156"/>
      <c r="I9" s="156">
        <f>I3/Group!I2</f>
        <v>0.30744508329647641</v>
      </c>
      <c r="J9" s="156"/>
      <c r="K9" s="156">
        <f>K3/Group!K185</f>
        <v>0.33841717459646198</v>
      </c>
      <c r="L9" s="156"/>
      <c r="M9" s="156">
        <f>M3/Group!M2</f>
        <v>0.33866520444931841</v>
      </c>
    </row>
    <row r="10" spans="1:23" ht="10.199999999999999" customHeight="1">
      <c r="A10" s="154" t="s">
        <v>135</v>
      </c>
      <c r="B10" s="156">
        <f>B4/Group!B3</f>
        <v>0.25740684770742867</v>
      </c>
      <c r="C10" s="156"/>
      <c r="D10" s="156">
        <f>D4/Group!D3</f>
        <v>0.26279458123637905</v>
      </c>
      <c r="E10" s="444">
        <f>E4/Group!E3</f>
        <v>0.23506070212928237</v>
      </c>
      <c r="F10" s="156"/>
      <c r="G10" s="156">
        <f>G4/Group!G3</f>
        <v>0.26475532525592754</v>
      </c>
      <c r="H10" s="156"/>
      <c r="I10" s="156">
        <f>I4/Group!I3</f>
        <v>0.2875917142016074</v>
      </c>
      <c r="J10" s="156"/>
      <c r="K10" s="156">
        <f>K4/Group!K215</f>
        <v>0.28252193073629067</v>
      </c>
      <c r="L10" s="156"/>
      <c r="M10" s="156">
        <f>M4/Group!M3</f>
        <v>0.32767033309954208</v>
      </c>
    </row>
    <row r="11" spans="1:23" ht="10.199999999999999" customHeight="1">
      <c r="A11" s="154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</row>
    <row r="12" spans="1:23" s="153" customFormat="1" ht="10.199999999999999" customHeight="1">
      <c r="A12" s="158" t="s">
        <v>101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</row>
    <row r="13" spans="1:23" s="3" customFormat="1" ht="10.199999999999999">
      <c r="A13" s="160" t="s">
        <v>102</v>
      </c>
      <c r="B13" s="161">
        <v>424</v>
      </c>
      <c r="C13" s="178">
        <f>IF((+B13/D13)&lt;0,"n.m.",IF(B13&lt;0,(+B13/D13-1)*-1,(+B13/D13-1)))</f>
        <v>-0.23188405797101452</v>
      </c>
      <c r="D13" s="501">
        <v>552</v>
      </c>
      <c r="E13" s="446">
        <v>559</v>
      </c>
      <c r="F13" s="504">
        <f>IF((+E13/G13)&lt;0,"n.m.",IF(E13&lt;0,(+E13/G13-1)*-1,(+E13/G13-1)))</f>
        <v>-3.7865748709122182E-2</v>
      </c>
      <c r="G13" s="161">
        <v>581</v>
      </c>
      <c r="H13" s="178">
        <f>IF((+G13/I13)&lt;0,"n.m.",IF(G13&lt;0,(+G13/I13-1)*-1,(+G13/I13-1)))</f>
        <v>-0.11567732115677321</v>
      </c>
      <c r="I13" s="161">
        <v>657</v>
      </c>
      <c r="J13" s="178">
        <f>IF((+I13/K13)&lt;0,"n.m.",IF(I13&lt;0,(+I13/K13-1)*-1,(+I13/K13-1)))</f>
        <v>-0.61913043478260876</v>
      </c>
      <c r="K13" s="161">
        <v>1725</v>
      </c>
      <c r="L13" s="162"/>
      <c r="M13" s="163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s="3" customFormat="1" ht="10.199999999999999">
      <c r="A14" s="160" t="s">
        <v>103</v>
      </c>
      <c r="B14" s="161">
        <v>5532</v>
      </c>
      <c r="C14" s="504">
        <f t="shared" ref="C14:C35" si="2">IF((+B14/D14)&lt;0,"n.m.",IF(B14&lt;0,(+B14/D14-1)*-1,(+B14/D14-1)))</f>
        <v>2.8061698569039173E-2</v>
      </c>
      <c r="D14" s="501">
        <v>5381</v>
      </c>
      <c r="E14" s="446">
        <v>6757</v>
      </c>
      <c r="F14" s="504">
        <f t="shared" ref="F14:F39" si="3">IF((+E14/G14)&lt;0,"n.m.",IF(E14&lt;0,(+E14/G14-1)*-1,(+E14/G14-1)))</f>
        <v>-1.0253405595429865E-2</v>
      </c>
      <c r="G14" s="161">
        <v>6827</v>
      </c>
      <c r="H14" s="178">
        <f t="shared" ref="H14:J39" si="4">IF((+G14/I14)&lt;0,"n.m.",IF(G14&lt;0,(+G14/I14-1)*-1,(+G14/I14-1)))</f>
        <v>-4.4640358242373335E-2</v>
      </c>
      <c r="I14" s="161">
        <v>7146</v>
      </c>
      <c r="J14" s="178">
        <f t="shared" si="4"/>
        <v>-2.6165167620605057E-2</v>
      </c>
      <c r="K14" s="161">
        <v>7338</v>
      </c>
      <c r="L14" s="162"/>
      <c r="M14" s="163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s="3" customFormat="1" ht="10.199999999999999">
      <c r="A15" s="160" t="s">
        <v>104</v>
      </c>
      <c r="B15" s="161">
        <v>7</v>
      </c>
      <c r="C15" s="504">
        <f t="shared" si="2"/>
        <v>-0.83720930232558133</v>
      </c>
      <c r="D15" s="501">
        <v>43</v>
      </c>
      <c r="E15" s="446">
        <v>40</v>
      </c>
      <c r="F15" s="504">
        <f t="shared" si="3"/>
        <v>-4.7619047619047672E-2</v>
      </c>
      <c r="G15" s="161">
        <v>42</v>
      </c>
      <c r="H15" s="178">
        <f t="shared" si="4"/>
        <v>-0.31147540983606559</v>
      </c>
      <c r="I15" s="161">
        <v>61</v>
      </c>
      <c r="J15" s="178">
        <f t="shared" si="4"/>
        <v>-0.73706896551724133</v>
      </c>
      <c r="K15" s="161">
        <v>232</v>
      </c>
      <c r="L15" s="162"/>
      <c r="M15" s="163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s="3" customFormat="1" ht="10.199999999999999">
      <c r="A16" s="160" t="s">
        <v>105</v>
      </c>
      <c r="B16" s="161">
        <v>2158</v>
      </c>
      <c r="C16" s="504">
        <f t="shared" si="2"/>
        <v>-2.7051397655545539E-2</v>
      </c>
      <c r="D16" s="501">
        <v>2218</v>
      </c>
      <c r="E16" s="446">
        <v>2570</v>
      </c>
      <c r="F16" s="504">
        <f t="shared" si="3"/>
        <v>-1.2677679600460956E-2</v>
      </c>
      <c r="G16" s="161">
        <v>2603</v>
      </c>
      <c r="H16" s="178">
        <f t="shared" si="4"/>
        <v>1.6399843811011339E-2</v>
      </c>
      <c r="I16" s="161">
        <v>2561</v>
      </c>
      <c r="J16" s="178">
        <f t="shared" si="4"/>
        <v>-6.906579425663395E-2</v>
      </c>
      <c r="K16" s="161">
        <v>2751</v>
      </c>
      <c r="L16" s="162"/>
      <c r="M16" s="163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11" customFormat="1" ht="10.199999999999999">
      <c r="A17" s="160" t="s">
        <v>106</v>
      </c>
      <c r="B17" s="161">
        <v>1564</v>
      </c>
      <c r="C17" s="504">
        <f t="shared" si="2"/>
        <v>-1.0752688172043001E-2</v>
      </c>
      <c r="D17" s="501">
        <v>1581</v>
      </c>
      <c r="E17" s="446">
        <v>1582</v>
      </c>
      <c r="F17" s="504">
        <f t="shared" si="3"/>
        <v>-5.2127022168963477E-2</v>
      </c>
      <c r="G17" s="161">
        <v>1669</v>
      </c>
      <c r="H17" s="178">
        <f t="shared" si="4"/>
        <v>-1.3593380614657202E-2</v>
      </c>
      <c r="I17" s="161">
        <v>1692</v>
      </c>
      <c r="J17" s="178">
        <f t="shared" si="4"/>
        <v>6.1480552070263483E-2</v>
      </c>
      <c r="K17" s="161">
        <v>1594</v>
      </c>
      <c r="L17" s="162"/>
      <c r="M17" s="163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s="11" customFormat="1" ht="10.199999999999999">
      <c r="A18" s="160" t="s">
        <v>154</v>
      </c>
      <c r="B18" s="161">
        <v>642</v>
      </c>
      <c r="C18" s="504">
        <f t="shared" si="2"/>
        <v>-5.0295857988165715E-2</v>
      </c>
      <c r="D18" s="501">
        <v>676</v>
      </c>
      <c r="E18" s="446">
        <v>639</v>
      </c>
      <c r="F18" s="504">
        <f t="shared" si="3"/>
        <v>-0.27220956719817768</v>
      </c>
      <c r="G18" s="161">
        <v>878</v>
      </c>
      <c r="H18" s="178">
        <f t="shared" si="4"/>
        <v>-0.32095901005413763</v>
      </c>
      <c r="I18" s="161">
        <v>1293</v>
      </c>
      <c r="J18" s="178">
        <f t="shared" si="4"/>
        <v>-0.31514830508474578</v>
      </c>
      <c r="K18" s="161">
        <v>1888</v>
      </c>
      <c r="L18" s="162"/>
      <c r="M18" s="163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s="11" customFormat="1" ht="10.199999999999999">
      <c r="A19" s="160" t="s">
        <v>107</v>
      </c>
      <c r="B19" s="161">
        <v>1283</v>
      </c>
      <c r="C19" s="504">
        <f t="shared" si="2"/>
        <v>-2.3328149300155809E-3</v>
      </c>
      <c r="D19" s="501">
        <v>1286</v>
      </c>
      <c r="E19" s="446">
        <v>1301</v>
      </c>
      <c r="F19" s="504">
        <f t="shared" si="3"/>
        <v>-4.5906656465187767E-3</v>
      </c>
      <c r="G19" s="161">
        <v>1307</v>
      </c>
      <c r="H19" s="178">
        <f t="shared" si="4"/>
        <v>3.8125496425734706E-2</v>
      </c>
      <c r="I19" s="161">
        <v>1259</v>
      </c>
      <c r="J19" s="178">
        <f t="shared" si="4"/>
        <v>-2.2515527950310532E-2</v>
      </c>
      <c r="K19" s="161">
        <v>1288</v>
      </c>
      <c r="L19" s="162"/>
      <c r="M19" s="163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s="11" customFormat="1" ht="10.199999999999999">
      <c r="A20" s="160" t="s">
        <v>108</v>
      </c>
      <c r="B20" s="161">
        <v>860</v>
      </c>
      <c r="C20" s="504">
        <f t="shared" si="2"/>
        <v>5.6511056511056479E-2</v>
      </c>
      <c r="D20" s="501">
        <v>814</v>
      </c>
      <c r="E20" s="446">
        <v>872</v>
      </c>
      <c r="F20" s="504">
        <f t="shared" si="3"/>
        <v>6.6014669926650393E-2</v>
      </c>
      <c r="G20" s="161">
        <v>818</v>
      </c>
      <c r="H20" s="178">
        <f t="shared" si="4"/>
        <v>4.9140049140048436E-3</v>
      </c>
      <c r="I20" s="161">
        <v>814</v>
      </c>
      <c r="J20" s="178">
        <f t="shared" si="4"/>
        <v>-0.1900497512437811</v>
      </c>
      <c r="K20" s="161">
        <v>1005</v>
      </c>
      <c r="L20" s="162"/>
      <c r="M20" s="163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s="11" customFormat="1" ht="10.199999999999999">
      <c r="A21" s="160" t="s">
        <v>109</v>
      </c>
      <c r="B21" s="161">
        <v>631</v>
      </c>
      <c r="C21" s="504">
        <f t="shared" si="2"/>
        <v>0.32842105263157895</v>
      </c>
      <c r="D21" s="501">
        <v>475</v>
      </c>
      <c r="E21" s="446">
        <v>508</v>
      </c>
      <c r="F21" s="504">
        <f t="shared" si="3"/>
        <v>5.6133056133056192E-2</v>
      </c>
      <c r="G21" s="161">
        <v>481</v>
      </c>
      <c r="H21" s="178">
        <f t="shared" si="4"/>
        <v>-9.0737240075614345E-2</v>
      </c>
      <c r="I21" s="161">
        <v>529</v>
      </c>
      <c r="J21" s="178">
        <f t="shared" si="4"/>
        <v>-0.10490693739424706</v>
      </c>
      <c r="K21" s="161">
        <v>591</v>
      </c>
      <c r="L21" s="162"/>
      <c r="M21" s="163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s="11" customFormat="1" ht="10.199999999999999">
      <c r="A22" s="160" t="s">
        <v>110</v>
      </c>
      <c r="B22" s="161">
        <v>185</v>
      </c>
      <c r="C22" s="504">
        <f t="shared" si="2"/>
        <v>6.9364161849710948E-2</v>
      </c>
      <c r="D22" s="501">
        <v>173</v>
      </c>
      <c r="E22" s="446">
        <v>174</v>
      </c>
      <c r="F22" s="504">
        <f t="shared" si="3"/>
        <v>-2.2471910112359605E-2</v>
      </c>
      <c r="G22" s="161">
        <v>178</v>
      </c>
      <c r="H22" s="178">
        <f t="shared" si="4"/>
        <v>0.26241134751773054</v>
      </c>
      <c r="I22" s="161">
        <v>141</v>
      </c>
      <c r="J22" s="178">
        <f t="shared" si="4"/>
        <v>7.1428571428571175E-3</v>
      </c>
      <c r="K22" s="161">
        <v>140</v>
      </c>
      <c r="L22" s="162"/>
      <c r="M22" s="163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s="11" customFormat="1" ht="10.199999999999999">
      <c r="A23" s="160" t="s">
        <v>111</v>
      </c>
      <c r="B23" s="161">
        <v>768</v>
      </c>
      <c r="C23" s="504">
        <f t="shared" si="2"/>
        <v>0.19440124416796278</v>
      </c>
      <c r="D23" s="501">
        <v>643</v>
      </c>
      <c r="E23" s="446">
        <v>726</v>
      </c>
      <c r="F23" s="504">
        <f t="shared" si="3"/>
        <v>0.27145359019264448</v>
      </c>
      <c r="G23" s="161">
        <v>571</v>
      </c>
      <c r="H23" s="178">
        <f t="shared" si="4"/>
        <v>8.1439393939394034E-2</v>
      </c>
      <c r="I23" s="161">
        <v>528</v>
      </c>
      <c r="J23" s="178">
        <f t="shared" si="4"/>
        <v>2.9239766081871288E-2</v>
      </c>
      <c r="K23" s="161">
        <v>513</v>
      </c>
      <c r="L23" s="162"/>
      <c r="M23" s="163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3" s="11" customFormat="1" ht="10.199999999999999">
      <c r="A24" s="160" t="s">
        <v>112</v>
      </c>
      <c r="B24" s="161">
        <v>254</v>
      </c>
      <c r="C24" s="504">
        <f t="shared" si="2"/>
        <v>-5.9259259259259234E-2</v>
      </c>
      <c r="D24" s="501">
        <v>270</v>
      </c>
      <c r="E24" s="446">
        <v>261</v>
      </c>
      <c r="F24" s="504">
        <f t="shared" si="3"/>
        <v>0</v>
      </c>
      <c r="G24" s="161">
        <v>261</v>
      </c>
      <c r="H24" s="178">
        <f t="shared" si="4"/>
        <v>0.19178082191780832</v>
      </c>
      <c r="I24" s="161">
        <v>219</v>
      </c>
      <c r="J24" s="178">
        <f t="shared" si="4"/>
        <v>0.55319148936170204</v>
      </c>
      <c r="K24" s="161">
        <v>141</v>
      </c>
      <c r="L24" s="162"/>
      <c r="M24" s="163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3" s="11" customFormat="1" ht="10.199999999999999">
      <c r="A25" s="160" t="s">
        <v>113</v>
      </c>
      <c r="B25" s="161">
        <v>827</v>
      </c>
      <c r="C25" s="504">
        <f t="shared" si="2"/>
        <v>-0.13943808532778357</v>
      </c>
      <c r="D25" s="501">
        <v>961</v>
      </c>
      <c r="E25" s="446">
        <v>945</v>
      </c>
      <c r="F25" s="504">
        <f t="shared" si="3"/>
        <v>-7.0796460176991149E-2</v>
      </c>
      <c r="G25" s="161">
        <v>1017</v>
      </c>
      <c r="H25" s="178">
        <f t="shared" si="4"/>
        <v>-0.10079575596816981</v>
      </c>
      <c r="I25" s="161">
        <v>1131</v>
      </c>
      <c r="J25" s="178">
        <f t="shared" si="4"/>
        <v>-0.13992395437262362</v>
      </c>
      <c r="K25" s="161">
        <v>1315</v>
      </c>
      <c r="L25" s="162"/>
      <c r="M25" s="163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3" s="11" customFormat="1" ht="10.199999999999999">
      <c r="A26" s="160" t="s">
        <v>114</v>
      </c>
      <c r="B26" s="164">
        <v>10</v>
      </c>
      <c r="C26" s="504">
        <f t="shared" si="2"/>
        <v>0.66666666666666674</v>
      </c>
      <c r="D26" s="344">
        <v>6</v>
      </c>
      <c r="E26" s="447">
        <v>3</v>
      </c>
      <c r="F26" s="504">
        <f t="shared" si="3"/>
        <v>0.5</v>
      </c>
      <c r="G26" s="164">
        <v>2</v>
      </c>
      <c r="H26" s="178">
        <f t="shared" si="4"/>
        <v>-0.6</v>
      </c>
      <c r="I26" s="164">
        <v>5</v>
      </c>
      <c r="J26" s="178">
        <f t="shared" si="4"/>
        <v>-0.5</v>
      </c>
      <c r="K26" s="164">
        <v>10</v>
      </c>
      <c r="L26" s="162"/>
      <c r="M26" s="16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s="11" customFormat="1" ht="10.199999999999999">
      <c r="A27" s="160" t="s">
        <v>115</v>
      </c>
      <c r="B27" s="161">
        <v>0</v>
      </c>
      <c r="C27" s="504">
        <f t="shared" si="2"/>
        <v>-1</v>
      </c>
      <c r="D27" s="501">
        <v>1</v>
      </c>
      <c r="E27" s="446">
        <v>8</v>
      </c>
      <c r="F27" s="504">
        <f t="shared" si="3"/>
        <v>-0.11111111111111116</v>
      </c>
      <c r="G27" s="161">
        <v>9</v>
      </c>
      <c r="H27" s="178">
        <f t="shared" si="4"/>
        <v>1.25</v>
      </c>
      <c r="I27" s="161">
        <v>4</v>
      </c>
      <c r="J27" s="178">
        <f t="shared" si="4"/>
        <v>0.33333333333333326</v>
      </c>
      <c r="K27" s="161">
        <v>3</v>
      </c>
      <c r="L27" s="162"/>
      <c r="M27" s="163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3" s="3" customFormat="1" ht="10.199999999999999">
      <c r="A28" s="160" t="s">
        <v>116</v>
      </c>
      <c r="B28" s="161">
        <v>33</v>
      </c>
      <c r="C28" s="504">
        <f t="shared" si="2"/>
        <v>0.26923076923076916</v>
      </c>
      <c r="D28" s="501">
        <v>26</v>
      </c>
      <c r="E28" s="446">
        <v>29</v>
      </c>
      <c r="F28" s="504">
        <f t="shared" si="3"/>
        <v>0</v>
      </c>
      <c r="G28" s="161">
        <v>29</v>
      </c>
      <c r="H28" s="178">
        <f t="shared" si="4"/>
        <v>-9.375E-2</v>
      </c>
      <c r="I28" s="161">
        <v>32</v>
      </c>
      <c r="J28" s="178">
        <f t="shared" si="4"/>
        <v>-5.8823529411764719E-2</v>
      </c>
      <c r="K28" s="161">
        <v>34</v>
      </c>
      <c r="L28" s="162"/>
      <c r="M28" s="163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s="11" customFormat="1" ht="10.199999999999999">
      <c r="A29" s="160" t="s">
        <v>117</v>
      </c>
      <c r="B29" s="161">
        <v>0</v>
      </c>
      <c r="C29" s="504"/>
      <c r="D29" s="501">
        <v>0</v>
      </c>
      <c r="E29" s="446">
        <v>1</v>
      </c>
      <c r="F29" s="504">
        <f t="shared" si="3"/>
        <v>0</v>
      </c>
      <c r="G29" s="161">
        <v>1</v>
      </c>
      <c r="H29" s="178">
        <f t="shared" si="4"/>
        <v>-0.75</v>
      </c>
      <c r="I29" s="161">
        <v>4</v>
      </c>
      <c r="J29" s="178">
        <f t="shared" si="4"/>
        <v>1</v>
      </c>
      <c r="K29" s="161">
        <v>2</v>
      </c>
      <c r="L29" s="162"/>
      <c r="M29" s="163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s="11" customFormat="1" ht="10.199999999999999">
      <c r="A30" s="160" t="s">
        <v>118</v>
      </c>
      <c r="B30" s="161">
        <v>727</v>
      </c>
      <c r="C30" s="504">
        <f t="shared" si="2"/>
        <v>0.1184615384615384</v>
      </c>
      <c r="D30" s="501">
        <v>650</v>
      </c>
      <c r="E30" s="446">
        <v>694</v>
      </c>
      <c r="F30" s="504">
        <f t="shared" si="3"/>
        <v>8.0996884735202501E-2</v>
      </c>
      <c r="G30" s="161">
        <v>642</v>
      </c>
      <c r="H30" s="178">
        <f t="shared" si="4"/>
        <v>0.14438502673796783</v>
      </c>
      <c r="I30" s="161">
        <v>561</v>
      </c>
      <c r="J30" s="178">
        <f t="shared" si="4"/>
        <v>0.30465116279069759</v>
      </c>
      <c r="K30" s="161">
        <v>430</v>
      </c>
      <c r="L30" s="162"/>
      <c r="M30" s="163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s="11" customFormat="1" ht="10.199999999999999">
      <c r="A31" s="160" t="s">
        <v>119</v>
      </c>
      <c r="B31" s="161">
        <v>11</v>
      </c>
      <c r="C31" s="504">
        <f t="shared" si="2"/>
        <v>-0.73170731707317072</v>
      </c>
      <c r="D31" s="501">
        <v>41</v>
      </c>
      <c r="E31" s="446">
        <v>24</v>
      </c>
      <c r="F31" s="504">
        <f t="shared" si="3"/>
        <v>-0.46666666666666667</v>
      </c>
      <c r="G31" s="161">
        <v>45</v>
      </c>
      <c r="H31" s="178">
        <f t="shared" si="4"/>
        <v>-0.11764705882352944</v>
      </c>
      <c r="I31" s="161">
        <v>51</v>
      </c>
      <c r="J31" s="178">
        <f t="shared" si="4"/>
        <v>8.5106382978723305E-2</v>
      </c>
      <c r="K31" s="161">
        <v>47</v>
      </c>
      <c r="L31" s="162"/>
      <c r="M31" s="163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s="11" customFormat="1" ht="10.199999999999999">
      <c r="A32" s="160" t="s">
        <v>120</v>
      </c>
      <c r="B32" s="161">
        <v>0</v>
      </c>
      <c r="C32" s="504">
        <f t="shared" si="2"/>
        <v>-1</v>
      </c>
      <c r="D32" s="501">
        <v>6</v>
      </c>
      <c r="E32" s="446">
        <v>2</v>
      </c>
      <c r="F32" s="504">
        <f t="shared" si="3"/>
        <v>-0.5</v>
      </c>
      <c r="G32" s="161">
        <v>4</v>
      </c>
      <c r="H32" s="178">
        <f t="shared" si="4"/>
        <v>1</v>
      </c>
      <c r="I32" s="161">
        <v>2</v>
      </c>
      <c r="J32" s="178">
        <f t="shared" si="4"/>
        <v>-0.6</v>
      </c>
      <c r="K32" s="161">
        <v>5</v>
      </c>
      <c r="L32" s="167"/>
      <c r="M32" s="163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s="11" customFormat="1" ht="10.199999999999999">
      <c r="A33" s="160" t="s">
        <v>121</v>
      </c>
      <c r="B33" s="168">
        <v>6</v>
      </c>
      <c r="C33" s="504">
        <f t="shared" si="2"/>
        <v>-0.92405063291139244</v>
      </c>
      <c r="D33" s="502">
        <v>79</v>
      </c>
      <c r="E33" s="448">
        <v>57</v>
      </c>
      <c r="F33" s="504">
        <f t="shared" si="3"/>
        <v>-0.21917808219178081</v>
      </c>
      <c r="G33" s="168">
        <v>73</v>
      </c>
      <c r="H33" s="178">
        <f t="shared" si="4"/>
        <v>0.12307692307692308</v>
      </c>
      <c r="I33" s="168">
        <v>65</v>
      </c>
      <c r="J33" s="178">
        <f t="shared" si="4"/>
        <v>3.0625</v>
      </c>
      <c r="K33" s="168">
        <v>16</v>
      </c>
      <c r="L33" s="162"/>
      <c r="M33" s="169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s="11" customFormat="1" ht="10.199999999999999">
      <c r="A34" s="160" t="s">
        <v>122</v>
      </c>
      <c r="B34" s="168">
        <v>11</v>
      </c>
      <c r="C34" s="504">
        <f t="shared" si="2"/>
        <v>1.75</v>
      </c>
      <c r="D34" s="502">
        <v>4</v>
      </c>
      <c r="E34" s="448">
        <v>6</v>
      </c>
      <c r="F34" s="504">
        <f t="shared" si="3"/>
        <v>0.19999999999999996</v>
      </c>
      <c r="G34" s="168">
        <v>5</v>
      </c>
      <c r="H34" s="178">
        <f t="shared" si="4"/>
        <v>-0.64285714285714279</v>
      </c>
      <c r="I34" s="168">
        <v>14</v>
      </c>
      <c r="J34" s="178">
        <f t="shared" si="4"/>
        <v>-0.33333333333333337</v>
      </c>
      <c r="K34" s="168">
        <v>21</v>
      </c>
      <c r="L34" s="162"/>
      <c r="M34" s="169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s="11" customFormat="1" ht="10.199999999999999">
      <c r="A35" s="166" t="s">
        <v>102</v>
      </c>
      <c r="B35" s="168">
        <f>B13</f>
        <v>424</v>
      </c>
      <c r="C35" s="504">
        <f t="shared" si="2"/>
        <v>-0.23188405797101452</v>
      </c>
      <c r="D35" s="168">
        <f>D13</f>
        <v>552</v>
      </c>
      <c r="E35" s="448">
        <f>E13</f>
        <v>559</v>
      </c>
      <c r="F35" s="504">
        <f t="shared" si="3"/>
        <v>-3.7865748709122182E-2</v>
      </c>
      <c r="G35" s="168">
        <f>G13</f>
        <v>581</v>
      </c>
      <c r="H35" s="178">
        <f t="shared" si="4"/>
        <v>-0.11567732115677321</v>
      </c>
      <c r="I35" s="170">
        <f>I13</f>
        <v>657</v>
      </c>
      <c r="J35" s="178">
        <f t="shared" si="4"/>
        <v>-0.61913043478260876</v>
      </c>
      <c r="K35" s="170">
        <f>K13</f>
        <v>1725</v>
      </c>
      <c r="L35" s="162"/>
      <c r="M35" s="171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s="11" customFormat="1" ht="10.199999999999999">
      <c r="A36" s="166" t="s">
        <v>103</v>
      </c>
      <c r="B36" s="168">
        <f>B14</f>
        <v>5532</v>
      </c>
      <c r="C36" s="178">
        <f t="shared" ref="C36:C40" si="5">IF((+B36/D36)&lt;0,"n.m.",IF(B36&lt;0,(+B36/D36-1)*-1,(+B36/D36-1)))</f>
        <v>2.8061698569039173E-2</v>
      </c>
      <c r="D36" s="168">
        <f>D14</f>
        <v>5381</v>
      </c>
      <c r="E36" s="448">
        <f>E14</f>
        <v>6757</v>
      </c>
      <c r="F36" s="504">
        <f t="shared" si="3"/>
        <v>-1.0253405595429865E-2</v>
      </c>
      <c r="G36" s="168">
        <f>G14</f>
        <v>6827</v>
      </c>
      <c r="H36" s="178">
        <f t="shared" si="4"/>
        <v>-4.4640358242373335E-2</v>
      </c>
      <c r="I36" s="170">
        <f>I14</f>
        <v>7146</v>
      </c>
      <c r="J36" s="178">
        <f t="shared" si="4"/>
        <v>-2.6165167620605057E-2</v>
      </c>
      <c r="K36" s="170">
        <f>K14</f>
        <v>7338</v>
      </c>
      <c r="L36" s="162"/>
      <c r="M36" s="171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s="3" customFormat="1" ht="10.199999999999999">
      <c r="A37" s="166" t="s">
        <v>123</v>
      </c>
      <c r="B37" s="168">
        <f>B15+B16+B17+B18+B19+B20+B21+B22+B23+B24</f>
        <v>8352</v>
      </c>
      <c r="C37" s="178">
        <f t="shared" si="5"/>
        <v>2.1151730040347205E-2</v>
      </c>
      <c r="D37" s="168">
        <f>D15+D16+D17+D18+D19+D20+D21+D22+D23+D24</f>
        <v>8179</v>
      </c>
      <c r="E37" s="448">
        <f>E15+E16+E17+E18+E19+E20+E21+E22+E23+E24</f>
        <v>8673</v>
      </c>
      <c r="F37" s="504">
        <f t="shared" si="3"/>
        <v>-1.5326975476839255E-2</v>
      </c>
      <c r="G37" s="168">
        <f>G15+G16+G17+G18+G19+G20+G21+G22+G23+G24</f>
        <v>8808</v>
      </c>
      <c r="H37" s="178">
        <f t="shared" si="4"/>
        <v>-3.1768714960976108E-2</v>
      </c>
      <c r="I37" s="164">
        <f>I15+I16+I17+I18+I19+I20+I21+I22+I23+I24</f>
        <v>9097</v>
      </c>
      <c r="J37" s="178">
        <f t="shared" si="4"/>
        <v>-0.10312530809425224</v>
      </c>
      <c r="K37" s="164">
        <f>K15+K16+K17+K18+K19+K20+K21+K22+K23+K24</f>
        <v>10143</v>
      </c>
      <c r="L37" s="162"/>
      <c r="M37" s="165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s="3" customFormat="1" ht="10.199999999999999">
      <c r="A38" s="166" t="s">
        <v>124</v>
      </c>
      <c r="B38" s="168">
        <f>B25+B26+B27+B28+B29+B30</f>
        <v>1597</v>
      </c>
      <c r="C38" s="178">
        <f t="shared" si="5"/>
        <v>-2.8588807785888126E-2</v>
      </c>
      <c r="D38" s="168">
        <f>D25+D26+D27+D28+D29+D30</f>
        <v>1644</v>
      </c>
      <c r="E38" s="448">
        <f>E25+E26+E27+E28+E29+E30</f>
        <v>1680</v>
      </c>
      <c r="F38" s="504">
        <f t="shared" si="3"/>
        <v>-1.1764705882352899E-2</v>
      </c>
      <c r="G38" s="168">
        <f>G25+G26+G27+G28+G29+G30</f>
        <v>1700</v>
      </c>
      <c r="H38" s="178">
        <f t="shared" si="4"/>
        <v>-2.1301093839953933E-2</v>
      </c>
      <c r="I38" s="164">
        <f>I25+I26+I27+I28+I29+I30</f>
        <v>1737</v>
      </c>
      <c r="J38" s="178">
        <f t="shared" si="4"/>
        <v>-3.1772575250836099E-2</v>
      </c>
      <c r="K38" s="164">
        <f>K25+K26+K27+K28+K29+K30</f>
        <v>1794</v>
      </c>
      <c r="L38" s="162"/>
      <c r="M38" s="165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s="11" customFormat="1" ht="10.199999999999999">
      <c r="A39" s="166" t="s">
        <v>125</v>
      </c>
      <c r="B39" s="168">
        <f>B31+B32+B33+B34</f>
        <v>28</v>
      </c>
      <c r="C39" s="178">
        <f t="shared" si="5"/>
        <v>-0.7846153846153846</v>
      </c>
      <c r="D39" s="168">
        <f>D31+D32+D33+D34</f>
        <v>130</v>
      </c>
      <c r="E39" s="448">
        <f>E31+E32+E33+E34</f>
        <v>89</v>
      </c>
      <c r="F39" s="504">
        <f t="shared" si="3"/>
        <v>-0.29921259842519687</v>
      </c>
      <c r="G39" s="168">
        <f>G31+G32+G33+G34</f>
        <v>127</v>
      </c>
      <c r="H39" s="178">
        <f t="shared" si="4"/>
        <v>-3.7878787878787845E-2</v>
      </c>
      <c r="I39" s="164">
        <f>I31+I32+I33+I34</f>
        <v>132</v>
      </c>
      <c r="J39" s="178">
        <f t="shared" si="4"/>
        <v>0.48314606741573041</v>
      </c>
      <c r="K39" s="164">
        <f>K31+K32+K33+K34</f>
        <v>89</v>
      </c>
      <c r="L39" s="162"/>
      <c r="M39" s="16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s="3" customFormat="1" ht="10.199999999999999">
      <c r="A40" s="158" t="s">
        <v>126</v>
      </c>
      <c r="B40" s="265">
        <f>SUM(B35:B39)</f>
        <v>15933</v>
      </c>
      <c r="C40" s="232">
        <f t="shared" si="5"/>
        <v>2.9585798816567088E-3</v>
      </c>
      <c r="D40" s="265">
        <f>SUM(D35:D39)</f>
        <v>15886</v>
      </c>
      <c r="E40" s="449">
        <f>SUM(E35:E39)</f>
        <v>17758</v>
      </c>
      <c r="F40" s="514">
        <f>IF((+E40/G40)&lt;0,"n.m.",IF(E40&lt;0,(+E40/G40-1)*-1,(+E40/G40-1)))</f>
        <v>-1.5795599401429938E-2</v>
      </c>
      <c r="G40" s="265">
        <f>SUM(G35:G39)</f>
        <v>18043</v>
      </c>
      <c r="H40" s="232">
        <f t="shared" ref="H40:J40" si="6">IF((+G40/I40)&lt;0,"n.m.",IF(G40&lt;0,(+G40/I40-1)*-1,(+G40/I40-1)))</f>
        <v>-3.8680803452501467E-2</v>
      </c>
      <c r="I40" s="172">
        <f>SUM(I35:I39)</f>
        <v>18769</v>
      </c>
      <c r="J40" s="232">
        <f t="shared" si="6"/>
        <v>-0.11000995779790412</v>
      </c>
      <c r="K40" s="172">
        <f>SUM(K35:K39)</f>
        <v>21089</v>
      </c>
      <c r="L40" s="151">
        <f>(K40-M40)/M40</f>
        <v>-7.0928234723996647E-2</v>
      </c>
      <c r="M40" s="173">
        <v>22699</v>
      </c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s="91" customFormat="1" ht="10.199999999999999">
      <c r="A41" s="174" t="s">
        <v>136</v>
      </c>
      <c r="B41" s="266">
        <f>B40/Group!B152</f>
        <v>0.22866286829604329</v>
      </c>
      <c r="C41" s="162"/>
      <c r="D41" s="266">
        <f>D40/Group!D152</f>
        <v>0.23087431693989072</v>
      </c>
      <c r="E41" s="450">
        <f>E40/Group!E152</f>
        <v>0.24719163685463327</v>
      </c>
      <c r="F41" s="266"/>
      <c r="G41" s="266">
        <f>G40/Group!G152</f>
        <v>0.24610243469958398</v>
      </c>
      <c r="H41" s="162"/>
      <c r="I41" s="175">
        <f>I40/Group!I152</f>
        <v>0.25744108852494996</v>
      </c>
      <c r="J41" s="176"/>
      <c r="K41" s="175">
        <f>K40/Group!K152</f>
        <v>0.28849521203830369</v>
      </c>
      <c r="L41" s="176"/>
      <c r="M41" s="176">
        <f>M40/Group!M152</f>
        <v>0.30670179705445211</v>
      </c>
      <c r="N41" s="90"/>
      <c r="O41" s="90"/>
      <c r="P41" s="90"/>
      <c r="Q41" s="90"/>
      <c r="R41" s="90"/>
      <c r="S41" s="90"/>
      <c r="T41" s="90"/>
      <c r="U41" s="90"/>
      <c r="V41" s="90"/>
      <c r="W41" s="90"/>
    </row>
    <row r="42" spans="1:23" ht="12" customHeight="1">
      <c r="A42" s="154"/>
      <c r="B42" s="157"/>
      <c r="C42" s="162"/>
      <c r="D42" s="157"/>
      <c r="E42" s="157"/>
      <c r="F42" s="157"/>
      <c r="G42" s="157"/>
      <c r="H42" s="156"/>
      <c r="I42" s="157"/>
      <c r="J42" s="156"/>
      <c r="K42" s="157"/>
      <c r="L42" s="156"/>
      <c r="M42" s="157"/>
    </row>
    <row r="43" spans="1:23" s="153" customFormat="1" ht="12" customHeight="1">
      <c r="A43" s="158" t="s">
        <v>3</v>
      </c>
      <c r="B43" s="159"/>
      <c r="C43" s="162"/>
      <c r="D43" s="159"/>
      <c r="E43" s="159"/>
      <c r="F43" s="159"/>
      <c r="G43" s="159"/>
      <c r="H43" s="156"/>
      <c r="I43" s="159"/>
      <c r="J43" s="156"/>
      <c r="K43" s="159"/>
      <c r="L43" s="156"/>
      <c r="M43" s="159"/>
    </row>
    <row r="44" spans="1:23" s="3" customFormat="1" ht="10.199999999999999">
      <c r="A44" s="160" t="s">
        <v>102</v>
      </c>
      <c r="B44" s="177">
        <v>18.2</v>
      </c>
      <c r="C44" s="178">
        <f t="shared" ref="C44:C71" si="7">IF((+B44/D44)&lt;0,"n.m.",IF(B44&lt;0,(+B44/D44-1)*-1,(+B44/D44-1)))</f>
        <v>0.2656467315716271</v>
      </c>
      <c r="D44" s="503">
        <v>14.38</v>
      </c>
      <c r="E44" s="452">
        <v>126.57</v>
      </c>
      <c r="F44" s="504">
        <f t="shared" ref="F44:J70" si="8">IF((+E44/G44)&lt;0,"n.m.",IF(E44&lt;0,(+E44/G44-1)*-1,(+E44/G44-1)))</f>
        <v>-1.7389954196102897E-2</v>
      </c>
      <c r="G44" s="177">
        <v>128.81</v>
      </c>
      <c r="H44" s="178">
        <f t="shared" si="8"/>
        <v>-2.3648904722201158E-2</v>
      </c>
      <c r="I44" s="177">
        <v>131.93</v>
      </c>
      <c r="J44" s="178">
        <f t="shared" si="8"/>
        <v>-0.60772478591817314</v>
      </c>
      <c r="K44" s="177">
        <v>336.32</v>
      </c>
      <c r="L44" s="162"/>
      <c r="M44" s="163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s="3" customFormat="1" ht="10.199999999999999">
      <c r="A45" s="160" t="s">
        <v>103</v>
      </c>
      <c r="B45" s="177">
        <v>271.7</v>
      </c>
      <c r="C45" s="178">
        <f t="shared" si="7"/>
        <v>0.11256705294623481</v>
      </c>
      <c r="D45" s="503">
        <v>244.21</v>
      </c>
      <c r="E45" s="452">
        <v>1657.1200000000001</v>
      </c>
      <c r="F45" s="504">
        <f t="shared" si="8"/>
        <v>3.5984895846357778E-2</v>
      </c>
      <c r="G45" s="177">
        <v>1599.56</v>
      </c>
      <c r="H45" s="178">
        <f t="shared" si="8"/>
        <v>-4.8413387747331948E-2</v>
      </c>
      <c r="I45" s="177">
        <v>1680.94</v>
      </c>
      <c r="J45" s="178">
        <f t="shared" si="8"/>
        <v>3.1061767772802673E-2</v>
      </c>
      <c r="K45" s="177">
        <v>1630.3</v>
      </c>
      <c r="L45" s="162"/>
      <c r="M45" s="163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s="3" customFormat="1" ht="10.199999999999999">
      <c r="A46" s="160" t="s">
        <v>104</v>
      </c>
      <c r="B46" s="177">
        <v>0.01</v>
      </c>
      <c r="C46" s="178">
        <f t="shared" si="7"/>
        <v>-0.99596774193548387</v>
      </c>
      <c r="D46" s="503">
        <v>2.48</v>
      </c>
      <c r="E46" s="452">
        <v>7.68</v>
      </c>
      <c r="F46" s="504">
        <f t="shared" si="8"/>
        <v>-0.57118927973199329</v>
      </c>
      <c r="G46" s="177">
        <v>17.91</v>
      </c>
      <c r="H46" s="178">
        <f t="shared" si="8"/>
        <v>-0.42411575562700965</v>
      </c>
      <c r="I46" s="177">
        <v>31.1</v>
      </c>
      <c r="J46" s="178">
        <f t="shared" si="8"/>
        <v>-0.38537549407114624</v>
      </c>
      <c r="K46" s="177">
        <v>50.6</v>
      </c>
      <c r="L46" s="162"/>
      <c r="M46" s="163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s="3" customFormat="1" ht="10.199999999999999">
      <c r="A47" s="160" t="s">
        <v>105</v>
      </c>
      <c r="B47" s="177">
        <v>45.17</v>
      </c>
      <c r="C47" s="178">
        <f t="shared" si="7"/>
        <v>-0.30720858895705527</v>
      </c>
      <c r="D47" s="503">
        <v>65.2</v>
      </c>
      <c r="E47" s="452">
        <v>521.07000000000005</v>
      </c>
      <c r="F47" s="504">
        <f t="shared" si="8"/>
        <v>-0.18991651508791563</v>
      </c>
      <c r="G47" s="177">
        <v>643.23</v>
      </c>
      <c r="H47" s="178">
        <f t="shared" si="8"/>
        <v>0.27349581262745271</v>
      </c>
      <c r="I47" s="177">
        <v>505.09</v>
      </c>
      <c r="J47" s="178">
        <f t="shared" si="8"/>
        <v>-7.4163688021262941E-2</v>
      </c>
      <c r="K47" s="177">
        <v>545.54999999999995</v>
      </c>
      <c r="L47" s="162"/>
      <c r="M47" s="163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s="11" customFormat="1" ht="10.199999999999999">
      <c r="A48" s="160" t="s">
        <v>106</v>
      </c>
      <c r="B48" s="177">
        <v>51.29</v>
      </c>
      <c r="C48" s="178">
        <f t="shared" si="7"/>
        <v>0.8028119507908611</v>
      </c>
      <c r="D48" s="503">
        <v>28.45</v>
      </c>
      <c r="E48" s="452">
        <v>321.13</v>
      </c>
      <c r="F48" s="504">
        <f t="shared" si="8"/>
        <v>-0.31132318250053614</v>
      </c>
      <c r="G48" s="177">
        <v>466.3</v>
      </c>
      <c r="H48" s="178">
        <f t="shared" si="8"/>
        <v>8.1450902175425499E-2</v>
      </c>
      <c r="I48" s="177">
        <v>431.18</v>
      </c>
      <c r="J48" s="178">
        <f t="shared" si="8"/>
        <v>7.1254658385093261E-2</v>
      </c>
      <c r="K48" s="177">
        <v>402.5</v>
      </c>
      <c r="L48" s="162"/>
      <c r="M48" s="163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1:23" s="11" customFormat="1" ht="10.199999999999999">
      <c r="A49" s="160" t="s">
        <v>154</v>
      </c>
      <c r="B49" s="177">
        <v>13.04</v>
      </c>
      <c r="C49" s="178">
        <f t="shared" si="7"/>
        <v>-0.12365591397849474</v>
      </c>
      <c r="D49" s="503">
        <v>14.88</v>
      </c>
      <c r="E49" s="452">
        <v>82.54</v>
      </c>
      <c r="F49" s="504">
        <f t="shared" si="8"/>
        <v>-0.52755995649934173</v>
      </c>
      <c r="G49" s="177">
        <v>174.71</v>
      </c>
      <c r="H49" s="178">
        <f t="shared" si="8"/>
        <v>-7.9941018484385618E-2</v>
      </c>
      <c r="I49" s="177">
        <v>189.89</v>
      </c>
      <c r="J49" s="178">
        <f t="shared" si="8"/>
        <v>-0.53670676068021572</v>
      </c>
      <c r="K49" s="177">
        <v>409.87</v>
      </c>
      <c r="L49" s="162"/>
      <c r="M49" s="163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pans="1:23" s="11" customFormat="1" ht="10.199999999999999">
      <c r="A50" s="160" t="s">
        <v>107</v>
      </c>
      <c r="B50" s="177">
        <v>81.12</v>
      </c>
      <c r="C50" s="178">
        <f t="shared" si="7"/>
        <v>-0.14249471458773777</v>
      </c>
      <c r="D50" s="503">
        <v>94.6</v>
      </c>
      <c r="E50" s="452">
        <v>420.43</v>
      </c>
      <c r="F50" s="504">
        <f t="shared" si="8"/>
        <v>-0.36876163593778144</v>
      </c>
      <c r="G50" s="177">
        <v>666.04</v>
      </c>
      <c r="H50" s="178">
        <f t="shared" si="8"/>
        <v>0.72522405843651239</v>
      </c>
      <c r="I50" s="177">
        <v>386.06</v>
      </c>
      <c r="J50" s="178">
        <f t="shared" si="8"/>
        <v>0.28314554458736341</v>
      </c>
      <c r="K50" s="177">
        <v>300.87</v>
      </c>
      <c r="L50" s="162"/>
      <c r="M50" s="163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1:23" s="11" customFormat="1" ht="10.199999999999999">
      <c r="A51" s="160" t="s">
        <v>108</v>
      </c>
      <c r="B51" s="177">
        <v>16.829999999999998</v>
      </c>
      <c r="C51" s="178">
        <f t="shared" si="7"/>
        <v>-0.5</v>
      </c>
      <c r="D51" s="503">
        <v>33.659999999999997</v>
      </c>
      <c r="E51" s="452">
        <v>221.28</v>
      </c>
      <c r="F51" s="504">
        <f t="shared" si="8"/>
        <v>8.8869205786832106E-2</v>
      </c>
      <c r="G51" s="177">
        <v>203.22</v>
      </c>
      <c r="H51" s="178">
        <f t="shared" si="8"/>
        <v>0.38603191924703317</v>
      </c>
      <c r="I51" s="177">
        <v>146.62</v>
      </c>
      <c r="J51" s="178">
        <f t="shared" si="8"/>
        <v>-0.48503793200337175</v>
      </c>
      <c r="K51" s="177">
        <v>284.72000000000003</v>
      </c>
      <c r="L51" s="162"/>
      <c r="M51" s="163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pans="1:23" s="11" customFormat="1" ht="10.199999999999999">
      <c r="A52" s="160" t="s">
        <v>109</v>
      </c>
      <c r="B52" s="177">
        <v>18.43</v>
      </c>
      <c r="C52" s="178">
        <f t="shared" si="7"/>
        <v>1.0032608695652177</v>
      </c>
      <c r="D52" s="503">
        <v>9.1999999999999993</v>
      </c>
      <c r="E52" s="452">
        <v>66.62</v>
      </c>
      <c r="F52" s="504">
        <f t="shared" si="8"/>
        <v>0.20122610890732062</v>
      </c>
      <c r="G52" s="177">
        <v>55.46</v>
      </c>
      <c r="H52" s="178">
        <f t="shared" si="8"/>
        <v>-0.46029583495523552</v>
      </c>
      <c r="I52" s="177">
        <v>102.76</v>
      </c>
      <c r="J52" s="178">
        <f t="shared" si="8"/>
        <v>-9.8359217337895877E-2</v>
      </c>
      <c r="K52" s="177">
        <v>113.97</v>
      </c>
      <c r="L52" s="162"/>
      <c r="M52" s="163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spans="1:23" s="11" customFormat="1" ht="10.199999999999999">
      <c r="A53" s="160" t="s">
        <v>110</v>
      </c>
      <c r="B53" s="177">
        <v>7.91</v>
      </c>
      <c r="C53" s="178">
        <f t="shared" si="7"/>
        <v>1.9329896907216648E-2</v>
      </c>
      <c r="D53" s="503">
        <v>7.76</v>
      </c>
      <c r="E53" s="452">
        <v>50.13</v>
      </c>
      <c r="F53" s="504">
        <f t="shared" si="8"/>
        <v>-0.43496393146979262</v>
      </c>
      <c r="G53" s="177">
        <v>88.72</v>
      </c>
      <c r="H53" s="178">
        <f t="shared" si="8"/>
        <v>0.54699215344376628</v>
      </c>
      <c r="I53" s="177">
        <v>57.35</v>
      </c>
      <c r="J53" s="178">
        <f t="shared" si="8"/>
        <v>0.22857754927163665</v>
      </c>
      <c r="K53" s="177">
        <v>46.68</v>
      </c>
      <c r="L53" s="162"/>
      <c r="M53" s="163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pans="1:23" s="11" customFormat="1" ht="10.199999999999999">
      <c r="A54" s="160" t="s">
        <v>111</v>
      </c>
      <c r="B54" s="177">
        <v>27.52</v>
      </c>
      <c r="C54" s="178">
        <f t="shared" si="7"/>
        <v>1.9214437367303607</v>
      </c>
      <c r="D54" s="503">
        <v>9.42</v>
      </c>
      <c r="E54" s="452">
        <v>85.04</v>
      </c>
      <c r="F54" s="504">
        <f t="shared" si="8"/>
        <v>0.9808991381318426</v>
      </c>
      <c r="G54" s="177">
        <v>42.93</v>
      </c>
      <c r="H54" s="178">
        <f t="shared" si="8"/>
        <v>0.19449081803005019</v>
      </c>
      <c r="I54" s="177">
        <v>35.94</v>
      </c>
      <c r="J54" s="178">
        <f t="shared" si="8"/>
        <v>0.22578444747612547</v>
      </c>
      <c r="K54" s="177">
        <v>29.32</v>
      </c>
      <c r="L54" s="162"/>
      <c r="M54" s="163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3" s="11" customFormat="1" ht="10.199999999999999">
      <c r="A55" s="160" t="s">
        <v>112</v>
      </c>
      <c r="B55" s="177">
        <v>5.65</v>
      </c>
      <c r="C55" s="178">
        <f t="shared" si="7"/>
        <v>0.27828054298642546</v>
      </c>
      <c r="D55" s="503">
        <v>4.42</v>
      </c>
      <c r="E55" s="452">
        <v>23.15</v>
      </c>
      <c r="F55" s="504">
        <f t="shared" si="8"/>
        <v>-0.26694110196326792</v>
      </c>
      <c r="G55" s="177">
        <v>31.58</v>
      </c>
      <c r="H55" s="178">
        <f t="shared" si="8"/>
        <v>-0.11664335664335668</v>
      </c>
      <c r="I55" s="177">
        <v>35.75</v>
      </c>
      <c r="J55" s="178">
        <f t="shared" si="8"/>
        <v>1.0640877598152425</v>
      </c>
      <c r="K55" s="177">
        <v>17.32</v>
      </c>
      <c r="L55" s="162"/>
      <c r="M55" s="163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1:23" s="11" customFormat="1" ht="10.199999999999999">
      <c r="A56" s="160" t="s">
        <v>113</v>
      </c>
      <c r="B56" s="177">
        <v>51.36</v>
      </c>
      <c r="C56" s="178">
        <f t="shared" si="7"/>
        <v>-0.13316455696202534</v>
      </c>
      <c r="D56" s="503">
        <v>59.25</v>
      </c>
      <c r="E56" s="452">
        <v>302.81</v>
      </c>
      <c r="F56" s="504">
        <f t="shared" si="8"/>
        <v>8.3747897355141099E-2</v>
      </c>
      <c r="G56" s="177">
        <v>279.41000000000003</v>
      </c>
      <c r="H56" s="178">
        <f t="shared" si="8"/>
        <v>-4.8233811356746203E-2</v>
      </c>
      <c r="I56" s="177">
        <v>293.57</v>
      </c>
      <c r="J56" s="178">
        <f t="shared" si="8"/>
        <v>-9.7707155151217195E-2</v>
      </c>
      <c r="K56" s="177">
        <v>325.36</v>
      </c>
      <c r="L56" s="162"/>
      <c r="M56" s="163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pans="1:23" s="11" customFormat="1" ht="10.199999999999999">
      <c r="A57" s="160" t="s">
        <v>114</v>
      </c>
      <c r="B57" s="179">
        <v>0.65</v>
      </c>
      <c r="C57" s="178">
        <f t="shared" si="7"/>
        <v>2.0952380952380953</v>
      </c>
      <c r="D57" s="345">
        <v>0.21</v>
      </c>
      <c r="E57" s="453">
        <v>1.48</v>
      </c>
      <c r="F57" s="504">
        <f t="shared" si="8"/>
        <v>0.21311475409836067</v>
      </c>
      <c r="G57" s="179">
        <v>1.22</v>
      </c>
      <c r="H57" s="178">
        <f t="shared" si="8"/>
        <v>-0.75889328063241102</v>
      </c>
      <c r="I57" s="179">
        <v>5.0599999999999996</v>
      </c>
      <c r="J57" s="178">
        <f t="shared" si="8"/>
        <v>-2.3166023166023231E-2</v>
      </c>
      <c r="K57" s="179">
        <v>5.18</v>
      </c>
      <c r="L57" s="162"/>
      <c r="M57" s="16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1:23" s="11" customFormat="1" ht="10.199999999999999">
      <c r="A58" s="160" t="s">
        <v>115</v>
      </c>
      <c r="B58" s="177">
        <v>0</v>
      </c>
      <c r="C58" s="178"/>
      <c r="D58" s="503">
        <v>0</v>
      </c>
      <c r="E58" s="452">
        <v>4.6100000000000003</v>
      </c>
      <c r="F58" s="504">
        <f t="shared" si="8"/>
        <v>45.1</v>
      </c>
      <c r="G58" s="177">
        <v>0.1</v>
      </c>
      <c r="H58" s="178"/>
      <c r="I58" s="177">
        <v>0</v>
      </c>
      <c r="J58" s="178"/>
      <c r="K58" s="177">
        <v>0</v>
      </c>
      <c r="L58" s="162"/>
      <c r="M58" s="163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pans="1:23" s="3" customFormat="1" ht="10.199999999999999">
      <c r="A59" s="160" t="s">
        <v>116</v>
      </c>
      <c r="B59" s="177">
        <v>0.7</v>
      </c>
      <c r="C59" s="178">
        <f t="shared" si="7"/>
        <v>-6.6666666666666763E-2</v>
      </c>
      <c r="D59" s="503">
        <v>0.75</v>
      </c>
      <c r="E59" s="452">
        <v>5.58</v>
      </c>
      <c r="F59" s="504">
        <f t="shared" si="8"/>
        <v>-0.10576923076923084</v>
      </c>
      <c r="G59" s="177">
        <v>6.24</v>
      </c>
      <c r="H59" s="178">
        <f t="shared" si="8"/>
        <v>0.21637426900584811</v>
      </c>
      <c r="I59" s="177">
        <v>5.13</v>
      </c>
      <c r="J59" s="178">
        <f t="shared" si="8"/>
        <v>-0.12755102040816324</v>
      </c>
      <c r="K59" s="177">
        <v>5.88</v>
      </c>
      <c r="L59" s="162"/>
      <c r="M59" s="163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s="11" customFormat="1" ht="10.199999999999999">
      <c r="A60" s="160" t="s">
        <v>117</v>
      </c>
      <c r="B60" s="177">
        <v>0</v>
      </c>
      <c r="C60" s="322">
        <f t="shared" si="7"/>
        <v>-1</v>
      </c>
      <c r="D60" s="503">
        <v>7.0000000000000007E-2</v>
      </c>
      <c r="E60" s="452">
        <v>1.24</v>
      </c>
      <c r="F60" s="504">
        <f t="shared" si="8"/>
        <v>40.333333333333336</v>
      </c>
      <c r="G60" s="177">
        <v>0.03</v>
      </c>
      <c r="H60" s="178">
        <f t="shared" si="8"/>
        <v>-0.98</v>
      </c>
      <c r="I60" s="177">
        <v>1.5</v>
      </c>
      <c r="J60" s="178">
        <f t="shared" si="8"/>
        <v>-0.31192660550458717</v>
      </c>
      <c r="K60" s="177">
        <v>2.1800000000000002</v>
      </c>
      <c r="L60" s="162"/>
      <c r="M60" s="163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1:23" s="11" customFormat="1" ht="10.199999999999999">
      <c r="A61" s="160" t="s">
        <v>118</v>
      </c>
      <c r="B61" s="177">
        <v>30.53</v>
      </c>
      <c r="C61" s="178">
        <f t="shared" si="7"/>
        <v>0.63787553648068673</v>
      </c>
      <c r="D61" s="503">
        <v>18.64</v>
      </c>
      <c r="E61" s="452">
        <v>91.62</v>
      </c>
      <c r="F61" s="504">
        <f t="shared" si="8"/>
        <v>-9.043978953638443E-2</v>
      </c>
      <c r="G61" s="177">
        <v>100.73</v>
      </c>
      <c r="H61" s="178">
        <f t="shared" si="8"/>
        <v>0.11674057649667402</v>
      </c>
      <c r="I61" s="177">
        <v>90.2</v>
      </c>
      <c r="J61" s="178">
        <f t="shared" si="8"/>
        <v>0.92817443351859774</v>
      </c>
      <c r="K61" s="177">
        <v>46.78</v>
      </c>
      <c r="L61" s="162"/>
      <c r="M61" s="163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pans="1:23" s="11" customFormat="1" ht="10.199999999999999">
      <c r="A62" s="160" t="s">
        <v>119</v>
      </c>
      <c r="B62" s="177">
        <v>0.12</v>
      </c>
      <c r="C62" s="178">
        <f t="shared" si="7"/>
        <v>-0.45454545454545459</v>
      </c>
      <c r="D62" s="503">
        <v>0.22</v>
      </c>
      <c r="E62" s="452">
        <v>0.92</v>
      </c>
      <c r="F62" s="504">
        <f t="shared" si="8"/>
        <v>-0.92767295597484278</v>
      </c>
      <c r="G62" s="177">
        <v>12.72</v>
      </c>
      <c r="H62" s="178">
        <f t="shared" si="8"/>
        <v>-0.39658444022770389</v>
      </c>
      <c r="I62" s="177">
        <v>21.08</v>
      </c>
      <c r="J62" s="178">
        <f t="shared" si="8"/>
        <v>0.37777777777777755</v>
      </c>
      <c r="K62" s="177">
        <v>15.3</v>
      </c>
      <c r="L62" s="162"/>
      <c r="M62" s="163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pans="1:23" s="11" customFormat="1" ht="10.199999999999999">
      <c r="A63" s="160" t="s">
        <v>120</v>
      </c>
      <c r="B63" s="177">
        <v>0</v>
      </c>
      <c r="C63" s="178">
        <f t="shared" si="7"/>
        <v>-1</v>
      </c>
      <c r="D63" s="503">
        <v>0.42</v>
      </c>
      <c r="E63" s="452">
        <v>0.62</v>
      </c>
      <c r="F63" s="504">
        <f t="shared" si="8"/>
        <v>-0.53030303030303028</v>
      </c>
      <c r="G63" s="177">
        <v>1.32</v>
      </c>
      <c r="H63" s="178">
        <f t="shared" si="8"/>
        <v>-0.46774193548387089</v>
      </c>
      <c r="I63" s="177">
        <v>2.48</v>
      </c>
      <c r="J63" s="178">
        <f t="shared" si="8"/>
        <v>-0.50988142292490113</v>
      </c>
      <c r="K63" s="177">
        <v>5.0599999999999996</v>
      </c>
      <c r="L63" s="167"/>
      <c r="M63" s="163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1:23" s="11" customFormat="1" ht="10.199999999999999">
      <c r="A64" s="160" t="s">
        <v>121</v>
      </c>
      <c r="B64" s="180">
        <v>0</v>
      </c>
      <c r="C64" s="178">
        <f t="shared" si="7"/>
        <v>-1</v>
      </c>
      <c r="D64" s="505">
        <v>1.36</v>
      </c>
      <c r="E64" s="454">
        <v>4.18</v>
      </c>
      <c r="F64" s="504">
        <f t="shared" si="8"/>
        <v>-0.64150943396226423</v>
      </c>
      <c r="G64" s="180">
        <v>11.66</v>
      </c>
      <c r="H64" s="178">
        <f t="shared" si="8"/>
        <v>-4.4262295081967107E-2</v>
      </c>
      <c r="I64" s="180">
        <v>12.2</v>
      </c>
      <c r="J64" s="178">
        <f t="shared" si="8"/>
        <v>3.918228279386704E-2</v>
      </c>
      <c r="K64" s="180">
        <v>11.74</v>
      </c>
      <c r="L64" s="162"/>
      <c r="M64" s="169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spans="1:23" s="11" customFormat="1" ht="10.199999999999999">
      <c r="A65" s="160" t="s">
        <v>122</v>
      </c>
      <c r="B65" s="180">
        <v>1.64</v>
      </c>
      <c r="C65" s="178">
        <f t="shared" si="7"/>
        <v>0.46428571428571397</v>
      </c>
      <c r="D65" s="505">
        <v>1.1200000000000001</v>
      </c>
      <c r="E65" s="454">
        <v>5.16</v>
      </c>
      <c r="F65" s="504">
        <f t="shared" si="8"/>
        <v>0.5975232198142415</v>
      </c>
      <c r="G65" s="180">
        <v>3.23</v>
      </c>
      <c r="H65" s="178">
        <f t="shared" si="8"/>
        <v>-0.35010060362173034</v>
      </c>
      <c r="I65" s="180">
        <v>4.97</v>
      </c>
      <c r="J65" s="178">
        <f t="shared" si="8"/>
        <v>-0.36768447837150131</v>
      </c>
      <c r="K65" s="180">
        <v>7.86</v>
      </c>
      <c r="L65" s="162"/>
      <c r="M65" s="169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pans="1:23" s="11" customFormat="1" ht="10.199999999999999">
      <c r="A66" s="166" t="s">
        <v>102</v>
      </c>
      <c r="B66" s="180">
        <f>B44</f>
        <v>18.2</v>
      </c>
      <c r="C66" s="178">
        <f t="shared" si="7"/>
        <v>0.2656467315716271</v>
      </c>
      <c r="D66" s="180">
        <f>D44</f>
        <v>14.38</v>
      </c>
      <c r="E66" s="454">
        <f>E44</f>
        <v>126.57</v>
      </c>
      <c r="F66" s="504">
        <f t="shared" si="8"/>
        <v>-1.7389954196102897E-2</v>
      </c>
      <c r="G66" s="180">
        <f>G44</f>
        <v>128.81</v>
      </c>
      <c r="H66" s="178">
        <f t="shared" si="8"/>
        <v>-2.3648904722201158E-2</v>
      </c>
      <c r="I66" s="181">
        <f>I44</f>
        <v>131.93</v>
      </c>
      <c r="J66" s="178">
        <f t="shared" si="8"/>
        <v>-0.60772478591817314</v>
      </c>
      <c r="K66" s="181">
        <f>K44</f>
        <v>336.32</v>
      </c>
      <c r="L66" s="162"/>
      <c r="M66" s="171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1:23" s="11" customFormat="1" ht="10.199999999999999">
      <c r="A67" s="166" t="s">
        <v>103</v>
      </c>
      <c r="B67" s="180">
        <f>B45</f>
        <v>271.7</v>
      </c>
      <c r="C67" s="178">
        <f t="shared" si="7"/>
        <v>0.11256705294623481</v>
      </c>
      <c r="D67" s="180">
        <f>D45</f>
        <v>244.21</v>
      </c>
      <c r="E67" s="454">
        <f>E45</f>
        <v>1657.1200000000001</v>
      </c>
      <c r="F67" s="504">
        <f t="shared" si="8"/>
        <v>3.5984895846357778E-2</v>
      </c>
      <c r="G67" s="180">
        <f>G45</f>
        <v>1599.56</v>
      </c>
      <c r="H67" s="178">
        <f t="shared" si="8"/>
        <v>-4.8413387747331948E-2</v>
      </c>
      <c r="I67" s="181">
        <f>I45</f>
        <v>1680.94</v>
      </c>
      <c r="J67" s="178">
        <f t="shared" si="8"/>
        <v>3.1061767772802673E-2</v>
      </c>
      <c r="K67" s="181">
        <f>K45</f>
        <v>1630.3</v>
      </c>
      <c r="L67" s="162"/>
      <c r="M67" s="171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pans="1:23" s="3" customFormat="1" ht="10.199999999999999">
      <c r="A68" s="166" t="s">
        <v>123</v>
      </c>
      <c r="B68" s="180">
        <f>B46+B47+B48+B49+B50+B51+B52+B53+B54+B55</f>
        <v>266.96999999999997</v>
      </c>
      <c r="C68" s="178">
        <f t="shared" si="7"/>
        <v>-1.1478505572629638E-2</v>
      </c>
      <c r="D68" s="180">
        <f>D46+D47+D48+D49+D50+D51+D52+D53+D54+D55</f>
        <v>270.07000000000005</v>
      </c>
      <c r="E68" s="454">
        <f>E46+E47+E48+E49+E50+E51+E52+E53+E54+E55</f>
        <v>1799.0700000000002</v>
      </c>
      <c r="F68" s="504">
        <f t="shared" si="8"/>
        <v>-0.24728254047947762</v>
      </c>
      <c r="G68" s="180">
        <f>G46+G47+G48+G49+G50+G51+G52+G53+G54+G55</f>
        <v>2390.0999999999995</v>
      </c>
      <c r="H68" s="178">
        <f t="shared" si="8"/>
        <v>0.24371663180242908</v>
      </c>
      <c r="I68" s="179">
        <f>I46+I47+I48+I49+I50+I51+I52+I53+I54+I55</f>
        <v>1921.7399999999996</v>
      </c>
      <c r="J68" s="178">
        <f t="shared" si="8"/>
        <v>-0.12703733987462551</v>
      </c>
      <c r="K68" s="179">
        <f>K46+K47+K48+K49+K50+K51+K52+K53+K54+K55</f>
        <v>2201.4</v>
      </c>
      <c r="L68" s="162"/>
      <c r="M68" s="165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1:23" s="3" customFormat="1" ht="10.199999999999999">
      <c r="A69" s="166" t="s">
        <v>124</v>
      </c>
      <c r="B69" s="180">
        <f>B56+B57+B58+B59+B60+B61</f>
        <v>83.240000000000009</v>
      </c>
      <c r="C69" s="178">
        <f t="shared" si="7"/>
        <v>5.4738976178408505E-2</v>
      </c>
      <c r="D69" s="180">
        <f>D56+D57+D58+D59+D60+D61</f>
        <v>78.92</v>
      </c>
      <c r="E69" s="454">
        <f>E56+E57+E58+E59+E60+E61</f>
        <v>407.34000000000003</v>
      </c>
      <c r="F69" s="504">
        <f t="shared" si="8"/>
        <v>5.0576432053232701E-2</v>
      </c>
      <c r="G69" s="180">
        <f>G56+G57+G58+G59+G60+G61</f>
        <v>387.73000000000008</v>
      </c>
      <c r="H69" s="178">
        <f t="shared" si="8"/>
        <v>-1.9546856824963044E-2</v>
      </c>
      <c r="I69" s="179">
        <f>I56+I57+I58+I59+I60+I61</f>
        <v>395.46</v>
      </c>
      <c r="J69" s="178">
        <f t="shared" si="8"/>
        <v>2.6156001868285816E-2</v>
      </c>
      <c r="K69" s="179">
        <f>K56+K57+K58+K59+K60+K61</f>
        <v>385.38</v>
      </c>
      <c r="L69" s="162"/>
      <c r="M69" s="165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1:23" s="11" customFormat="1" ht="10.199999999999999">
      <c r="A70" s="166" t="s">
        <v>125</v>
      </c>
      <c r="B70" s="180">
        <f>B62+B63+B64+B65</f>
        <v>1.7599999999999998</v>
      </c>
      <c r="C70" s="178">
        <f t="shared" si="7"/>
        <v>-0.43589743589743601</v>
      </c>
      <c r="D70" s="180">
        <f>D62+D63+D64+D65</f>
        <v>3.12</v>
      </c>
      <c r="E70" s="454">
        <f>E62+E63+E64+E65</f>
        <v>10.879999999999999</v>
      </c>
      <c r="F70" s="504">
        <f t="shared" si="8"/>
        <v>-0.62391980642931222</v>
      </c>
      <c r="G70" s="180">
        <f>G62+G63+G64+G65</f>
        <v>28.930000000000003</v>
      </c>
      <c r="H70" s="178">
        <f t="shared" si="8"/>
        <v>-0.28971274245028222</v>
      </c>
      <c r="I70" s="179">
        <f>I62+I63+I64+I65</f>
        <v>40.729999999999997</v>
      </c>
      <c r="J70" s="178">
        <f t="shared" si="8"/>
        <v>1.9269269269269085E-2</v>
      </c>
      <c r="K70" s="179">
        <f>K62+K63+K64+K65</f>
        <v>39.96</v>
      </c>
      <c r="L70" s="162"/>
      <c r="M70" s="16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1:23" s="153" customFormat="1" ht="10.199999999999999" customHeight="1">
      <c r="A71" s="158" t="s">
        <v>129</v>
      </c>
      <c r="B71" s="150">
        <f>SUM(B66:B70)</f>
        <v>641.86999999999989</v>
      </c>
      <c r="C71" s="232">
        <f t="shared" si="7"/>
        <v>5.1039790404453722E-2</v>
      </c>
      <c r="D71" s="150">
        <f>SUM(D66:D70)</f>
        <v>610.70000000000005</v>
      </c>
      <c r="E71" s="451">
        <f>SUM(E66:E70)</f>
        <v>4000.9800000000005</v>
      </c>
      <c r="F71" s="514">
        <f t="shared" ref="F71" si="9">IF((+E71/G71)&lt;0,"n.m.",IF(E71&lt;0,(+E71/G71-1)*-1,(+E71/G71-1)))</f>
        <v>-0.11778052668831973</v>
      </c>
      <c r="G71" s="150">
        <f>SUM(G66:G70)</f>
        <v>4535.13</v>
      </c>
      <c r="H71" s="232">
        <f t="shared" ref="H71:J71" si="10">IF((+G71/I71)&lt;0,"n.m.",IF(G71&lt;0,(+G71/I71-1)*-1,(+G71/I71-1)))</f>
        <v>8.7352546274096277E-2</v>
      </c>
      <c r="I71" s="150">
        <f>SUM(I66:I70)</f>
        <v>4170.7999999999993</v>
      </c>
      <c r="J71" s="232">
        <f t="shared" si="10"/>
        <v>-9.1993660414163347E-2</v>
      </c>
      <c r="K71" s="182">
        <f>SUM(K66:K70)</f>
        <v>4593.3600000000006</v>
      </c>
      <c r="L71" s="151">
        <f>(K71-M71)/M71</f>
        <v>-3.414400282605845E-2</v>
      </c>
      <c r="M71" s="182">
        <v>4755.74</v>
      </c>
    </row>
    <row r="72" spans="1:23" ht="10.199999999999999" customHeight="1">
      <c r="A72" s="160"/>
      <c r="B72" s="166"/>
      <c r="C72" s="162"/>
      <c r="D72" s="166"/>
      <c r="E72" s="166"/>
      <c r="F72" s="166"/>
      <c r="G72" s="166"/>
      <c r="H72" s="162"/>
      <c r="I72" s="166"/>
      <c r="J72" s="156"/>
      <c r="K72" s="166"/>
      <c r="L72" s="156"/>
      <c r="M72" s="166"/>
    </row>
    <row r="73" spans="1:23" ht="10.199999999999999" customHeight="1">
      <c r="A73" s="183" t="s">
        <v>4</v>
      </c>
      <c r="B73" s="184"/>
      <c r="C73" s="162"/>
      <c r="D73" s="184"/>
      <c r="E73" s="184"/>
      <c r="F73" s="184"/>
      <c r="G73" s="184"/>
      <c r="H73" s="156"/>
      <c r="I73" s="184"/>
      <c r="J73" s="156"/>
      <c r="K73" s="184"/>
      <c r="L73" s="156"/>
      <c r="M73" s="184"/>
    </row>
    <row r="74" spans="1:23" s="3" customFormat="1" ht="10.199999999999999">
      <c r="A74" s="160" t="s">
        <v>102</v>
      </c>
      <c r="B74" s="177">
        <v>122.91</v>
      </c>
      <c r="C74" s="178">
        <f t="shared" ref="C74:C101" si="11">IF((+B74/D74)&lt;0,"n.m.",IF(B74&lt;0,(+B74/D74-1)*-1,(+B74/D74-1)))</f>
        <v>0.21129397851581744</v>
      </c>
      <c r="D74" s="503">
        <v>101.47</v>
      </c>
      <c r="E74" s="458">
        <v>81.819999999999993</v>
      </c>
      <c r="F74" s="504">
        <f t="shared" ref="F74:J100" si="12">IF((+E74/G74)&lt;0,"n.m.",IF(E74&lt;0,(+E74/G74-1)*-1,(+E74/G74-1)))</f>
        <v>-5.832320777642841E-3</v>
      </c>
      <c r="G74" s="177">
        <v>82.3</v>
      </c>
      <c r="H74" s="178">
        <f t="shared" si="12"/>
        <v>-0.13249710129651104</v>
      </c>
      <c r="I74" s="177">
        <v>94.87</v>
      </c>
      <c r="J74" s="178">
        <f t="shared" si="12"/>
        <v>-0.47862167509342701</v>
      </c>
      <c r="K74" s="177">
        <v>181.95999999999998</v>
      </c>
      <c r="L74" s="162"/>
      <c r="M74" s="163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1:23" s="3" customFormat="1" ht="10.199999999999999">
      <c r="A75" s="160" t="s">
        <v>103</v>
      </c>
      <c r="B75" s="177">
        <v>1466</v>
      </c>
      <c r="C75" s="178">
        <f t="shared" si="11"/>
        <v>0.14853377833141379</v>
      </c>
      <c r="D75" s="503">
        <v>1276.4100000000001</v>
      </c>
      <c r="E75" s="458">
        <v>1250.44</v>
      </c>
      <c r="F75" s="504">
        <f t="shared" si="12"/>
        <v>3.6410804717739609E-2</v>
      </c>
      <c r="G75" s="177">
        <v>1206.51</v>
      </c>
      <c r="H75" s="178">
        <f t="shared" si="12"/>
        <v>0.18593404433085947</v>
      </c>
      <c r="I75" s="177">
        <v>1017.35</v>
      </c>
      <c r="J75" s="178">
        <f t="shared" si="12"/>
        <v>-6.4858306293719248E-2</v>
      </c>
      <c r="K75" s="177">
        <v>1087.9100000000001</v>
      </c>
      <c r="L75" s="162"/>
      <c r="M75" s="163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1:23" s="3" customFormat="1" ht="10.199999999999999">
      <c r="A76" s="160" t="s">
        <v>104</v>
      </c>
      <c r="B76" s="177">
        <v>0.06</v>
      </c>
      <c r="C76" s="178">
        <f t="shared" si="11"/>
        <v>-0.98429319371727753</v>
      </c>
      <c r="D76" s="503">
        <v>3.82</v>
      </c>
      <c r="E76" s="458">
        <v>0.05</v>
      </c>
      <c r="F76" s="504">
        <f t="shared" si="12"/>
        <v>-0.98898678414096919</v>
      </c>
      <c r="G76" s="177">
        <v>4.54</v>
      </c>
      <c r="H76" s="178">
        <f t="shared" si="12"/>
        <v>-0.73787528868360275</v>
      </c>
      <c r="I76" s="177">
        <v>17.32</v>
      </c>
      <c r="J76" s="178">
        <f t="shared" si="12"/>
        <v>-0.67565543071161049</v>
      </c>
      <c r="K76" s="177">
        <v>53.4</v>
      </c>
      <c r="L76" s="162"/>
      <c r="M76" s="163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1:23" s="3" customFormat="1" ht="10.199999999999999">
      <c r="A77" s="160" t="s">
        <v>105</v>
      </c>
      <c r="B77" s="177">
        <v>316.32</v>
      </c>
      <c r="C77" s="178">
        <f t="shared" si="11"/>
        <v>0.10589798272908446</v>
      </c>
      <c r="D77" s="503">
        <v>286.02999999999997</v>
      </c>
      <c r="E77" s="458">
        <v>271.91000000000003</v>
      </c>
      <c r="F77" s="504">
        <f t="shared" si="12"/>
        <v>-0.13163861654903708</v>
      </c>
      <c r="G77" s="177">
        <v>313.13</v>
      </c>
      <c r="H77" s="178">
        <f t="shared" si="12"/>
        <v>-6.7121491985938198E-2</v>
      </c>
      <c r="I77" s="177">
        <v>335.66</v>
      </c>
      <c r="J77" s="178">
        <f t="shared" si="12"/>
        <v>-5.6737389349444944E-2</v>
      </c>
      <c r="K77" s="177">
        <v>355.85</v>
      </c>
      <c r="L77" s="162"/>
      <c r="M77" s="163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s="11" customFormat="1" ht="10.199999999999999">
      <c r="A78" s="160" t="s">
        <v>106</v>
      </c>
      <c r="B78" s="177">
        <v>476.39</v>
      </c>
      <c r="C78" s="178">
        <f t="shared" si="11"/>
        <v>1.7572056951035999</v>
      </c>
      <c r="D78" s="503">
        <v>172.78</v>
      </c>
      <c r="E78" s="458">
        <v>244.5</v>
      </c>
      <c r="F78" s="504">
        <f t="shared" si="12"/>
        <v>1.0541040073930943</v>
      </c>
      <c r="G78" s="177">
        <v>119.03</v>
      </c>
      <c r="H78" s="178">
        <f t="shared" si="12"/>
        <v>-0.75486541590295941</v>
      </c>
      <c r="I78" s="177">
        <v>485.57</v>
      </c>
      <c r="J78" s="178">
        <f t="shared" si="12"/>
        <v>-0.13315838331905161</v>
      </c>
      <c r="K78" s="177">
        <v>560.16</v>
      </c>
      <c r="L78" s="162"/>
      <c r="M78" s="163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1:23" s="11" customFormat="1" ht="10.199999999999999">
      <c r="A79" s="160" t="s">
        <v>154</v>
      </c>
      <c r="B79" s="177">
        <v>224.29</v>
      </c>
      <c r="C79" s="178">
        <f t="shared" si="11"/>
        <v>-0.2907826086956522</v>
      </c>
      <c r="D79" s="503">
        <v>316.25</v>
      </c>
      <c r="E79" s="458">
        <v>196.86</v>
      </c>
      <c r="F79" s="504">
        <f t="shared" si="12"/>
        <v>-0.37798982590287211</v>
      </c>
      <c r="G79" s="177">
        <v>316.49</v>
      </c>
      <c r="H79" s="178">
        <f t="shared" si="12"/>
        <v>-0.48787197203838251</v>
      </c>
      <c r="I79" s="177">
        <v>617.99</v>
      </c>
      <c r="J79" s="178">
        <f t="shared" si="12"/>
        <v>1.9127115049252956</v>
      </c>
      <c r="K79" s="177">
        <v>212.17000000000002</v>
      </c>
      <c r="L79" s="162"/>
      <c r="M79" s="163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1:23" s="11" customFormat="1" ht="10.199999999999999">
      <c r="A80" s="160" t="s">
        <v>107</v>
      </c>
      <c r="B80" s="177">
        <v>536.78</v>
      </c>
      <c r="C80" s="178">
        <f t="shared" si="11"/>
        <v>0.63677389846013099</v>
      </c>
      <c r="D80" s="503">
        <v>327.95</v>
      </c>
      <c r="E80" s="458">
        <v>498.21</v>
      </c>
      <c r="F80" s="504">
        <f t="shared" si="12"/>
        <v>0.45360914979284583</v>
      </c>
      <c r="G80" s="177">
        <v>342.74</v>
      </c>
      <c r="H80" s="178">
        <f t="shared" si="12"/>
        <v>-0.34910838065214511</v>
      </c>
      <c r="I80" s="177">
        <v>526.57000000000005</v>
      </c>
      <c r="J80" s="178">
        <f t="shared" si="12"/>
        <v>0.20078901760467049</v>
      </c>
      <c r="K80" s="177">
        <v>438.52</v>
      </c>
      <c r="L80" s="162"/>
      <c r="M80" s="163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1:23" s="11" customFormat="1" ht="10.199999999999999">
      <c r="A81" s="160" t="s">
        <v>108</v>
      </c>
      <c r="B81" s="177">
        <v>273.74</v>
      </c>
      <c r="C81" s="178">
        <f t="shared" si="11"/>
        <v>-0.28681968579840023</v>
      </c>
      <c r="D81" s="503">
        <v>383.83</v>
      </c>
      <c r="E81" s="458">
        <v>256.98</v>
      </c>
      <c r="F81" s="504">
        <f t="shared" si="12"/>
        <v>-0.33333333333333337</v>
      </c>
      <c r="G81" s="177">
        <v>385.47</v>
      </c>
      <c r="H81" s="178">
        <f t="shared" si="12"/>
        <v>-0.21359936348613739</v>
      </c>
      <c r="I81" s="177">
        <v>490.17</v>
      </c>
      <c r="J81" s="178">
        <f t="shared" si="12"/>
        <v>0.63422684536907381</v>
      </c>
      <c r="K81" s="177">
        <v>299.94</v>
      </c>
      <c r="L81" s="162"/>
      <c r="M81" s="163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1:23" s="11" customFormat="1" ht="10.199999999999999">
      <c r="A82" s="160" t="s">
        <v>109</v>
      </c>
      <c r="B82" s="177">
        <v>96.02</v>
      </c>
      <c r="C82" s="178">
        <f t="shared" si="11"/>
        <v>0.86446601941747558</v>
      </c>
      <c r="D82" s="503">
        <v>51.5</v>
      </c>
      <c r="E82" s="458">
        <v>104.14</v>
      </c>
      <c r="F82" s="504">
        <f t="shared" si="12"/>
        <v>0.96601850103832354</v>
      </c>
      <c r="G82" s="177">
        <v>52.97</v>
      </c>
      <c r="H82" s="178">
        <f t="shared" si="12"/>
        <v>9.7823834196891113E-2</v>
      </c>
      <c r="I82" s="177">
        <v>48.25</v>
      </c>
      <c r="J82" s="178">
        <f t="shared" si="12"/>
        <v>-0.35468770897418744</v>
      </c>
      <c r="K82" s="177">
        <v>74.77</v>
      </c>
      <c r="L82" s="162"/>
      <c r="M82" s="163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1:23" s="11" customFormat="1" ht="10.199999999999999">
      <c r="A83" s="160" t="s">
        <v>110</v>
      </c>
      <c r="B83" s="177">
        <v>47.25</v>
      </c>
      <c r="C83" s="178">
        <f t="shared" si="11"/>
        <v>-0.17438406430193965</v>
      </c>
      <c r="D83" s="503">
        <v>57.230000000000004</v>
      </c>
      <c r="E83" s="458">
        <v>50.58</v>
      </c>
      <c r="F83" s="504">
        <f t="shared" si="12"/>
        <v>-0.10809381061541179</v>
      </c>
      <c r="G83" s="177">
        <v>56.71</v>
      </c>
      <c r="H83" s="178">
        <f t="shared" si="12"/>
        <v>-0.49756356870736251</v>
      </c>
      <c r="I83" s="177">
        <v>112.87</v>
      </c>
      <c r="J83" s="178">
        <f t="shared" si="12"/>
        <v>-0.24938485070160266</v>
      </c>
      <c r="K83" s="177">
        <v>150.37</v>
      </c>
      <c r="L83" s="162"/>
      <c r="M83" s="163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1:23" s="11" customFormat="1" ht="10.199999999999999">
      <c r="A84" s="160" t="s">
        <v>111</v>
      </c>
      <c r="B84" s="177">
        <v>73.48</v>
      </c>
      <c r="C84" s="178">
        <f t="shared" si="11"/>
        <v>-0.42843808338518974</v>
      </c>
      <c r="D84" s="503">
        <v>128.56</v>
      </c>
      <c r="E84" s="458">
        <v>81.17</v>
      </c>
      <c r="F84" s="504">
        <f t="shared" si="12"/>
        <v>-0.11752554903239831</v>
      </c>
      <c r="G84" s="177">
        <v>91.98</v>
      </c>
      <c r="H84" s="178">
        <f t="shared" si="12"/>
        <v>2.8372966207759704</v>
      </c>
      <c r="I84" s="177">
        <v>23.97</v>
      </c>
      <c r="J84" s="178">
        <f t="shared" si="12"/>
        <v>0.11957029425502097</v>
      </c>
      <c r="K84" s="177">
        <v>21.41</v>
      </c>
      <c r="L84" s="162"/>
      <c r="M84" s="163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pans="1:23" s="11" customFormat="1" ht="10.199999999999999">
      <c r="A85" s="160" t="s">
        <v>112</v>
      </c>
      <c r="B85" s="177">
        <v>57.89</v>
      </c>
      <c r="C85" s="178">
        <f t="shared" si="11"/>
        <v>0.38858239385943882</v>
      </c>
      <c r="D85" s="503">
        <v>41.69</v>
      </c>
      <c r="E85" s="458">
        <v>43.57</v>
      </c>
      <c r="F85" s="504">
        <f t="shared" si="12"/>
        <v>0.62756817332835269</v>
      </c>
      <c r="G85" s="177">
        <v>26.77</v>
      </c>
      <c r="H85" s="178">
        <f t="shared" si="12"/>
        <v>0.869413407821229</v>
      </c>
      <c r="I85" s="177">
        <v>14.32</v>
      </c>
      <c r="J85" s="178">
        <f t="shared" si="12"/>
        <v>-0.58933180384284478</v>
      </c>
      <c r="K85" s="177">
        <v>34.869999999999997</v>
      </c>
      <c r="L85" s="162"/>
      <c r="M85" s="163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1:23" s="11" customFormat="1" ht="10.199999999999999">
      <c r="A86" s="160" t="s">
        <v>113</v>
      </c>
      <c r="B86" s="177">
        <v>251.01</v>
      </c>
      <c r="C86" s="178">
        <f t="shared" si="11"/>
        <v>-0.23855604428939781</v>
      </c>
      <c r="D86" s="503">
        <v>329.65</v>
      </c>
      <c r="E86" s="458">
        <v>224.74</v>
      </c>
      <c r="F86" s="504">
        <f t="shared" si="12"/>
        <v>-0.15434978928356402</v>
      </c>
      <c r="G86" s="177">
        <v>265.76</v>
      </c>
      <c r="H86" s="178">
        <f t="shared" si="12"/>
        <v>0.82740837516330856</v>
      </c>
      <c r="I86" s="177">
        <v>145.43</v>
      </c>
      <c r="J86" s="178">
        <f t="shared" si="12"/>
        <v>-8.1185241344452819E-2</v>
      </c>
      <c r="K86" s="179">
        <v>158.28</v>
      </c>
      <c r="L86" s="162"/>
      <c r="M86" s="163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pans="1:23" s="11" customFormat="1" ht="10.199999999999999">
      <c r="A87" s="160" t="s">
        <v>114</v>
      </c>
      <c r="B87" s="179">
        <v>14.05</v>
      </c>
      <c r="C87" s="178">
        <f t="shared" si="11"/>
        <v>-4.874746106973582E-2</v>
      </c>
      <c r="D87" s="345">
        <v>14.77</v>
      </c>
      <c r="E87" s="459">
        <v>14.38</v>
      </c>
      <c r="F87" s="504">
        <f t="shared" si="12"/>
        <v>-5.1451187335092352E-2</v>
      </c>
      <c r="G87" s="179">
        <v>15.16</v>
      </c>
      <c r="H87" s="178">
        <f t="shared" si="12"/>
        <v>-6.0718711276332105E-2</v>
      </c>
      <c r="I87" s="179">
        <v>16.14</v>
      </c>
      <c r="J87" s="178">
        <f t="shared" si="12"/>
        <v>1.7171717171717171</v>
      </c>
      <c r="K87" s="177">
        <v>5.94</v>
      </c>
      <c r="L87" s="162"/>
      <c r="M87" s="16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pans="1:23" s="11" customFormat="1" ht="10.199999999999999">
      <c r="A88" s="160" t="s">
        <v>115</v>
      </c>
      <c r="B88" s="177">
        <v>0</v>
      </c>
      <c r="C88" s="504"/>
      <c r="D88" s="503">
        <v>0</v>
      </c>
      <c r="E88" s="458">
        <v>0</v>
      </c>
      <c r="F88" s="504"/>
      <c r="G88" s="177">
        <v>0</v>
      </c>
      <c r="H88" s="178"/>
      <c r="I88" s="177">
        <v>0</v>
      </c>
      <c r="J88" s="178"/>
      <c r="K88" s="177">
        <v>0</v>
      </c>
      <c r="L88" s="162"/>
      <c r="M88" s="163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1:23" s="3" customFormat="1" ht="10.199999999999999">
      <c r="A89" s="160" t="s">
        <v>116</v>
      </c>
      <c r="B89" s="177">
        <v>2.0299999999999998</v>
      </c>
      <c r="C89" s="504">
        <f t="shared" si="11"/>
        <v>4.6391752577319423E-2</v>
      </c>
      <c r="D89" s="503">
        <v>1.94</v>
      </c>
      <c r="E89" s="458">
        <v>1.44</v>
      </c>
      <c r="F89" s="504">
        <f t="shared" si="12"/>
        <v>-0.34841628959276016</v>
      </c>
      <c r="G89" s="177">
        <v>2.21</v>
      </c>
      <c r="H89" s="178">
        <f t="shared" si="12"/>
        <v>0.12182741116751261</v>
      </c>
      <c r="I89" s="177">
        <v>1.97</v>
      </c>
      <c r="J89" s="178">
        <f t="shared" si="12"/>
        <v>0.85849056603773577</v>
      </c>
      <c r="K89" s="177">
        <v>1.06</v>
      </c>
      <c r="L89" s="162"/>
      <c r="M89" s="163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1:23" s="11" customFormat="1" ht="10.199999999999999">
      <c r="A90" s="160" t="s">
        <v>117</v>
      </c>
      <c r="B90" s="177">
        <v>0</v>
      </c>
      <c r="C90" s="504"/>
      <c r="D90" s="503">
        <v>0</v>
      </c>
      <c r="E90" s="458">
        <v>0</v>
      </c>
      <c r="F90" s="504"/>
      <c r="G90" s="177">
        <v>0</v>
      </c>
      <c r="H90" s="178"/>
      <c r="I90" s="177">
        <v>0</v>
      </c>
      <c r="J90" s="178"/>
      <c r="K90" s="177">
        <v>0</v>
      </c>
      <c r="L90" s="162"/>
      <c r="M90" s="163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spans="1:23" s="11" customFormat="1" ht="10.199999999999999">
      <c r="A91" s="160" t="s">
        <v>118</v>
      </c>
      <c r="B91" s="177">
        <v>187.63</v>
      </c>
      <c r="C91" s="504">
        <f t="shared" si="11"/>
        <v>0.10130891588894753</v>
      </c>
      <c r="D91" s="503">
        <v>170.37</v>
      </c>
      <c r="E91" s="458">
        <v>157.82</v>
      </c>
      <c r="F91" s="504">
        <f t="shared" si="12"/>
        <v>-0.14618048041549458</v>
      </c>
      <c r="G91" s="177">
        <v>184.84</v>
      </c>
      <c r="H91" s="178">
        <f t="shared" si="12"/>
        <v>0.12624908603460883</v>
      </c>
      <c r="I91" s="177">
        <v>164.12</v>
      </c>
      <c r="J91" s="178">
        <f t="shared" si="12"/>
        <v>0.43725369997372798</v>
      </c>
      <c r="K91" s="177">
        <v>114.19</v>
      </c>
      <c r="L91" s="162"/>
      <c r="M91" s="163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spans="1:23" s="11" customFormat="1" ht="10.199999999999999">
      <c r="A92" s="160" t="s">
        <v>119</v>
      </c>
      <c r="B92" s="177">
        <v>0.16</v>
      </c>
      <c r="C92" s="504">
        <f t="shared" si="11"/>
        <v>0.23076923076923084</v>
      </c>
      <c r="D92" s="503">
        <v>0.13</v>
      </c>
      <c r="E92" s="458">
        <v>1.2</v>
      </c>
      <c r="F92" s="504">
        <f t="shared" si="12"/>
        <v>0.81818181818181812</v>
      </c>
      <c r="G92" s="177">
        <v>0.66</v>
      </c>
      <c r="H92" s="178">
        <f t="shared" si="12"/>
        <v>-0.93843283582089554</v>
      </c>
      <c r="I92" s="177">
        <v>10.72</v>
      </c>
      <c r="J92" s="178">
        <f t="shared" si="12"/>
        <v>-0.61782531194295898</v>
      </c>
      <c r="K92" s="177">
        <v>28.05</v>
      </c>
      <c r="L92" s="162"/>
      <c r="M92" s="163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1:23" s="11" customFormat="1" ht="10.199999999999999">
      <c r="A93" s="160" t="s">
        <v>120</v>
      </c>
      <c r="B93" s="177">
        <v>0.01</v>
      </c>
      <c r="C93" s="178">
        <f t="shared" si="11"/>
        <v>-0.95652173913043481</v>
      </c>
      <c r="D93" s="503">
        <v>0.23</v>
      </c>
      <c r="E93" s="458">
        <v>0.01</v>
      </c>
      <c r="F93" s="504">
        <f t="shared" si="12"/>
        <v>-0.97560975609756095</v>
      </c>
      <c r="G93" s="177">
        <v>0.41</v>
      </c>
      <c r="H93" s="178">
        <f t="shared" si="12"/>
        <v>3.0999999999999996</v>
      </c>
      <c r="I93" s="177">
        <v>0.1</v>
      </c>
      <c r="J93" s="178">
        <f t="shared" si="12"/>
        <v>-0.92</v>
      </c>
      <c r="K93" s="180">
        <v>1.25</v>
      </c>
      <c r="L93" s="167"/>
      <c r="M93" s="163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spans="1:23" s="11" customFormat="1" ht="10.199999999999999">
      <c r="A94" s="160" t="s">
        <v>121</v>
      </c>
      <c r="B94" s="180">
        <v>0</v>
      </c>
      <c r="C94" s="178">
        <f t="shared" si="11"/>
        <v>-1</v>
      </c>
      <c r="D94" s="505">
        <v>2.71</v>
      </c>
      <c r="E94" s="460">
        <v>0</v>
      </c>
      <c r="F94" s="504">
        <f t="shared" si="12"/>
        <v>-1</v>
      </c>
      <c r="G94" s="180">
        <v>3.02</v>
      </c>
      <c r="H94" s="178">
        <f t="shared" si="12"/>
        <v>-0.66105499438832771</v>
      </c>
      <c r="I94" s="180">
        <v>8.91</v>
      </c>
      <c r="J94" s="178">
        <f t="shared" si="12"/>
        <v>-0.59053308823529416</v>
      </c>
      <c r="K94" s="180">
        <v>21.76</v>
      </c>
      <c r="L94" s="162"/>
      <c r="M94" s="169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spans="1:23" s="11" customFormat="1" ht="10.199999999999999">
      <c r="A95" s="160" t="s">
        <v>122</v>
      </c>
      <c r="B95" s="180">
        <v>1.61</v>
      </c>
      <c r="C95" s="178">
        <f t="shared" si="11"/>
        <v>-0.71554770318021199</v>
      </c>
      <c r="D95" s="505">
        <v>5.66</v>
      </c>
      <c r="E95" s="460">
        <v>2.79</v>
      </c>
      <c r="F95" s="504">
        <f t="shared" si="12"/>
        <v>-0.58666666666666667</v>
      </c>
      <c r="G95" s="180">
        <v>6.75</v>
      </c>
      <c r="H95" s="178">
        <f t="shared" si="12"/>
        <v>-0.32567432567432564</v>
      </c>
      <c r="I95" s="180">
        <v>10.01</v>
      </c>
      <c r="J95" s="178">
        <f t="shared" si="12"/>
        <v>1.7651933701657456</v>
      </c>
      <c r="K95" s="181">
        <v>3.62</v>
      </c>
      <c r="L95" s="162"/>
      <c r="M95" s="169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spans="1:23" s="11" customFormat="1" ht="10.199999999999999">
      <c r="A96" s="166" t="s">
        <v>102</v>
      </c>
      <c r="B96" s="180">
        <f>B74</f>
        <v>122.91</v>
      </c>
      <c r="C96" s="178">
        <f t="shared" si="11"/>
        <v>0.21129397851581744</v>
      </c>
      <c r="D96" s="180">
        <f>D74</f>
        <v>101.47</v>
      </c>
      <c r="E96" s="460">
        <f>E74</f>
        <v>81.819999999999993</v>
      </c>
      <c r="F96" s="504">
        <f t="shared" si="12"/>
        <v>-5.832320777642841E-3</v>
      </c>
      <c r="G96" s="180">
        <f>G74</f>
        <v>82.3</v>
      </c>
      <c r="H96" s="178">
        <f t="shared" si="12"/>
        <v>-0.13249710129651104</v>
      </c>
      <c r="I96" s="181">
        <f>I74</f>
        <v>94.87</v>
      </c>
      <c r="J96" s="178">
        <f t="shared" si="12"/>
        <v>-0.47862167509342701</v>
      </c>
      <c r="K96" s="181">
        <f>K74</f>
        <v>181.95999999999998</v>
      </c>
      <c r="L96" s="162"/>
      <c r="M96" s="171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spans="1:23" s="11" customFormat="1" ht="10.199999999999999">
      <c r="A97" s="166" t="s">
        <v>103</v>
      </c>
      <c r="B97" s="180">
        <f>B75</f>
        <v>1466</v>
      </c>
      <c r="C97" s="178">
        <f t="shared" si="11"/>
        <v>0.14853377833141379</v>
      </c>
      <c r="D97" s="180">
        <f>D75</f>
        <v>1276.4100000000001</v>
      </c>
      <c r="E97" s="460">
        <f>E75</f>
        <v>1250.44</v>
      </c>
      <c r="F97" s="504">
        <f t="shared" si="12"/>
        <v>3.6410804717739609E-2</v>
      </c>
      <c r="G97" s="180">
        <f>G75</f>
        <v>1206.51</v>
      </c>
      <c r="H97" s="178">
        <f t="shared" si="12"/>
        <v>0.18593404433085947</v>
      </c>
      <c r="I97" s="181">
        <f>I75</f>
        <v>1017.35</v>
      </c>
      <c r="J97" s="178">
        <f t="shared" si="12"/>
        <v>-6.4858306293719248E-2</v>
      </c>
      <c r="K97" s="181">
        <f>K75</f>
        <v>1087.9100000000001</v>
      </c>
      <c r="L97" s="162"/>
      <c r="M97" s="171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spans="1:23" s="3" customFormat="1" ht="10.199999999999999">
      <c r="A98" s="166" t="s">
        <v>123</v>
      </c>
      <c r="B98" s="180">
        <f>B76+B77+B78+B79+B80+B81+B82+B83+B84+B85</f>
        <v>2102.2199999999998</v>
      </c>
      <c r="C98" s="178">
        <f t="shared" si="11"/>
        <v>0.18793652946361972</v>
      </c>
      <c r="D98" s="180">
        <f>D76+D77+D78+D79+D80+D81+D82+D83+D84+D85</f>
        <v>1769.6399999999999</v>
      </c>
      <c r="E98" s="460">
        <f>E76+E77+E78+E79+E80+E81+E82+E83+E84+E85</f>
        <v>1747.97</v>
      </c>
      <c r="F98" s="504">
        <f t="shared" si="12"/>
        <v>2.2306311153740266E-2</v>
      </c>
      <c r="G98" s="180">
        <f>G76+G77+G78+G79+G80+G81+G82+G83+G84+G85</f>
        <v>1709.8300000000002</v>
      </c>
      <c r="H98" s="178">
        <f t="shared" si="12"/>
        <v>-0.36025876551339653</v>
      </c>
      <c r="I98" s="179">
        <f>I76+I77+I78+I79+I80+I81+I82+I83+I84+I85</f>
        <v>2672.69</v>
      </c>
      <c r="J98" s="178">
        <f t="shared" si="12"/>
        <v>0.21405340092484115</v>
      </c>
      <c r="K98" s="179">
        <f>K76+K77+K78+K79+K80+K81+K82+K83+K84+K85</f>
        <v>2201.4599999999996</v>
      </c>
      <c r="L98" s="162"/>
      <c r="M98" s="165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 s="3" customFormat="1" ht="10.199999999999999">
      <c r="A99" s="166" t="s">
        <v>124</v>
      </c>
      <c r="B99" s="180">
        <f>B86+B87+B88+B89+B90+B91</f>
        <v>454.71999999999997</v>
      </c>
      <c r="C99" s="178">
        <f t="shared" si="11"/>
        <v>-0.12000464459195337</v>
      </c>
      <c r="D99" s="180">
        <f>D86+D87+D88+D89+D90+D91</f>
        <v>516.73</v>
      </c>
      <c r="E99" s="460">
        <f>E86+E87+E88+E89+E90+E91</f>
        <v>398.38</v>
      </c>
      <c r="F99" s="504">
        <f t="shared" si="12"/>
        <v>-0.14870611363976327</v>
      </c>
      <c r="G99" s="180">
        <f>G86+G87+G88+G89+G90+G91</f>
        <v>467.97</v>
      </c>
      <c r="H99" s="178">
        <f t="shared" si="12"/>
        <v>0.42821827504120136</v>
      </c>
      <c r="I99" s="251">
        <f>I86+I87+I88+I89+I90+I91</f>
        <v>327.65999999999997</v>
      </c>
      <c r="J99" s="178">
        <f t="shared" si="12"/>
        <v>0.17243353490535629</v>
      </c>
      <c r="K99" s="251">
        <f>K86+K87+K88+K89+K90+K91</f>
        <v>279.47000000000003</v>
      </c>
      <c r="L99" s="162"/>
      <c r="M99" s="165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 s="11" customFormat="1" ht="10.199999999999999">
      <c r="A100" s="548" t="s">
        <v>125</v>
      </c>
      <c r="B100" s="549">
        <f>B92+B93+B94+B95</f>
        <v>1.78</v>
      </c>
      <c r="C100" s="178">
        <f t="shared" si="11"/>
        <v>-0.79610538373424977</v>
      </c>
      <c r="D100" s="549">
        <f>D92+D93+D94+D95</f>
        <v>8.73</v>
      </c>
      <c r="E100" s="549">
        <f>E92+E93+E94+E95</f>
        <v>4</v>
      </c>
      <c r="F100" s="504">
        <f t="shared" si="12"/>
        <v>-0.63099630996309963</v>
      </c>
      <c r="G100" s="549">
        <f>G92+G93+G94+G95</f>
        <v>10.84</v>
      </c>
      <c r="H100" s="550">
        <f t="shared" si="12"/>
        <v>-0.63550773369199731</v>
      </c>
      <c r="I100" s="551">
        <f>I92+I93+I94+I95</f>
        <v>29.740000000000002</v>
      </c>
      <c r="J100" s="550">
        <f t="shared" si="12"/>
        <v>-0.4561082662765179</v>
      </c>
      <c r="K100" s="551">
        <f>K92+K93+K94+K95</f>
        <v>54.68</v>
      </c>
      <c r="L100" s="167"/>
      <c r="M100" s="552"/>
      <c r="N100" s="15"/>
      <c r="O100" s="15"/>
      <c r="P100" s="15"/>
      <c r="Q100" s="15"/>
      <c r="R100" s="15"/>
      <c r="S100" s="15"/>
      <c r="T100" s="15"/>
      <c r="U100" s="15"/>
      <c r="V100" s="15"/>
      <c r="W100" s="15"/>
    </row>
    <row r="101" spans="1:23" s="153" customFormat="1" ht="10.199999999999999" customHeight="1">
      <c r="A101" s="149" t="s">
        <v>130</v>
      </c>
      <c r="B101" s="500">
        <f>SUM(B96:B100)</f>
        <v>4147.63</v>
      </c>
      <c r="C101" s="252">
        <f t="shared" si="11"/>
        <v>0.12922749375166753</v>
      </c>
      <c r="D101" s="500">
        <f>SUM(D96:D100)</f>
        <v>3672.98</v>
      </c>
      <c r="E101" s="500">
        <f>SUM(E96:E100)</f>
        <v>3482.61</v>
      </c>
      <c r="F101" s="252">
        <f t="shared" ref="F101" si="13">IF((+E101/G101)&lt;0,"n.m.",IF(E101&lt;0,(+E101/G101-1)*-1,(+E101/G101-1)))</f>
        <v>1.4838459215802402E-3</v>
      </c>
      <c r="G101" s="500">
        <f>SUM(G96:G100)</f>
        <v>3477.4500000000007</v>
      </c>
      <c r="H101" s="252">
        <f t="shared" ref="H101:J101" si="14">IF((+G101/I101)&lt;0,"n.m.",IF(G101&lt;0,(+G101/I101-1)*-1,(+G101/I101-1)))</f>
        <v>-0.16050464595841418</v>
      </c>
      <c r="I101" s="500">
        <f>SUM(I96:I100)</f>
        <v>4142.3099999999995</v>
      </c>
      <c r="J101" s="252">
        <f t="shared" si="14"/>
        <v>8.8511830307871575E-2</v>
      </c>
      <c r="K101" s="500">
        <f>SUM(K96:K100)</f>
        <v>3805.48</v>
      </c>
      <c r="L101" s="151">
        <f>(K101-M101)/M101</f>
        <v>-0.12034802548241839</v>
      </c>
      <c r="M101" s="500">
        <v>4326.12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7" fitToHeight="0" orientation="landscape" r:id="rId1"/>
  <headerFooter alignWithMargins="0">
    <oddHeader>&amp;A</oddHeader>
  </headerFooter>
  <rowBreaks count="2" manualBreakCount="2">
    <brk id="42" max="12" man="1"/>
    <brk id="7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4"/>
  <sheetViews>
    <sheetView view="pageBreakPreview" zoomScaleNormal="100" zoomScaleSheetLayoutView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baseColWidth="10" defaultColWidth="20.6640625" defaultRowHeight="12" customHeight="1" outlineLevelRow="1"/>
  <cols>
    <col min="1" max="1" width="20.6640625" style="101" customWidth="1"/>
    <col min="2" max="12" width="10.88671875" style="60" customWidth="1"/>
    <col min="13" max="13" width="10.88671875" style="102" customWidth="1"/>
    <col min="14" max="16384" width="20.6640625" style="101"/>
  </cols>
  <sheetData>
    <row r="1" spans="1:23" s="100" customFormat="1" ht="24.75" customHeight="1">
      <c r="A1" s="57" t="s">
        <v>137</v>
      </c>
      <c r="B1" s="272" t="s">
        <v>151</v>
      </c>
      <c r="C1" s="272" t="s">
        <v>150</v>
      </c>
      <c r="D1" s="272" t="s">
        <v>145</v>
      </c>
      <c r="E1" s="272">
        <v>2016</v>
      </c>
      <c r="F1" s="272" t="s">
        <v>149</v>
      </c>
      <c r="G1" s="1">
        <v>2015</v>
      </c>
      <c r="H1" s="1" t="s">
        <v>146</v>
      </c>
      <c r="I1" s="1">
        <v>2014</v>
      </c>
      <c r="J1" s="1" t="s">
        <v>1</v>
      </c>
      <c r="K1" s="1">
        <v>2013</v>
      </c>
      <c r="L1" s="1" t="s">
        <v>2</v>
      </c>
      <c r="M1" s="1">
        <v>2012</v>
      </c>
    </row>
    <row r="2" spans="1:23" ht="3" hidden="1" customHeight="1" outlineLevel="1"/>
    <row r="3" spans="1:23" s="107" customFormat="1" ht="10.199999999999999" customHeight="1" collapsed="1">
      <c r="A3" s="103" t="s">
        <v>3</v>
      </c>
      <c r="B3" s="104">
        <f>B71</f>
        <v>661.54</v>
      </c>
      <c r="C3" s="231">
        <f t="shared" ref="C3:C7" si="0">IF((+B3/D3)&lt;0,"n.m.",IF(B3&lt;0,(+B3/D3-1)*-1,(+B3/D3-1)))</f>
        <v>6.0772240395099653E-2</v>
      </c>
      <c r="D3" s="104">
        <f>D71</f>
        <v>623.64</v>
      </c>
      <c r="E3" s="455">
        <f>E71</f>
        <v>3154.8900000000003</v>
      </c>
      <c r="F3" s="513">
        <f t="shared" ref="F3:J7" si="1">IF((+E3/G3)&lt;0,"n.m.",IF(E3&lt;0,(+E3/G3-1)*-1,(+E3/G3-1)))</f>
        <v>-2.9297469931786724E-2</v>
      </c>
      <c r="G3" s="104">
        <f>G71</f>
        <v>3250.1099999999997</v>
      </c>
      <c r="H3" s="231">
        <f t="shared" si="1"/>
        <v>9.4261549960607871E-2</v>
      </c>
      <c r="I3" s="104">
        <f>I71</f>
        <v>2970.14</v>
      </c>
      <c r="J3" s="231">
        <f t="shared" si="1"/>
        <v>5.2341793006685844E-2</v>
      </c>
      <c r="K3" s="104">
        <f>K71</f>
        <v>2822.41</v>
      </c>
      <c r="L3" s="106">
        <f>(K3-M3)/M3</f>
        <v>-3.5027317546822694E-2</v>
      </c>
      <c r="M3" s="104">
        <v>2924.8599999999997</v>
      </c>
    </row>
    <row r="4" spans="1:23" s="107" customFormat="1" ht="10.199999999999999" customHeight="1">
      <c r="A4" s="103" t="s">
        <v>4</v>
      </c>
      <c r="B4" s="104">
        <f>B101</f>
        <v>4306.3099999999995</v>
      </c>
      <c r="C4" s="231">
        <f t="shared" si="0"/>
        <v>5.2753684128179268E-2</v>
      </c>
      <c r="D4" s="104">
        <f>D101</f>
        <v>4090.52</v>
      </c>
      <c r="E4" s="455">
        <f>E101</f>
        <v>4294.97</v>
      </c>
      <c r="F4" s="513">
        <f t="shared" si="1"/>
        <v>9.8137180448742978E-3</v>
      </c>
      <c r="G4" s="104">
        <f>G101</f>
        <v>4253.2299999999996</v>
      </c>
      <c r="H4" s="231">
        <f t="shared" si="1"/>
        <v>-6.9561450906871602E-2</v>
      </c>
      <c r="I4" s="104">
        <f>I101</f>
        <v>4571.21</v>
      </c>
      <c r="J4" s="231">
        <f t="shared" si="1"/>
        <v>8.7792817232549947E-2</v>
      </c>
      <c r="K4" s="104">
        <f>K101</f>
        <v>4202.28</v>
      </c>
      <c r="L4" s="106">
        <f>(K4-M4)/M4</f>
        <v>4.059846520715242E-2</v>
      </c>
      <c r="M4" s="104">
        <v>4038.33</v>
      </c>
    </row>
    <row r="5" spans="1:23" s="107" customFormat="1" ht="10.199999999999999" customHeight="1">
      <c r="A5" s="103" t="s">
        <v>5</v>
      </c>
      <c r="B5" s="104">
        <v>554.42700000000002</v>
      </c>
      <c r="C5" s="231">
        <f t="shared" si="0"/>
        <v>-4.2291547909001359E-2</v>
      </c>
      <c r="D5" s="494">
        <v>578.91</v>
      </c>
      <c r="E5" s="461">
        <v>2681.02</v>
      </c>
      <c r="F5" s="513">
        <f t="shared" si="1"/>
        <v>-3.9364272428670355E-2</v>
      </c>
      <c r="G5" s="104">
        <v>2790.8809999999999</v>
      </c>
      <c r="H5" s="231">
        <f t="shared" si="1"/>
        <v>1.9151814813935575E-2</v>
      </c>
      <c r="I5" s="104">
        <v>2738.4349999999999</v>
      </c>
      <c r="J5" s="231">
        <f t="shared" si="1"/>
        <v>0.12022461476408042</v>
      </c>
      <c r="K5" s="104">
        <v>2444.5410000000002</v>
      </c>
      <c r="L5" s="106">
        <f>(K5-M5)/M5</f>
        <v>-8.1445778967508917E-2</v>
      </c>
      <c r="M5" s="104">
        <v>2661.2919999999999</v>
      </c>
    </row>
    <row r="6" spans="1:23" s="107" customFormat="1" ht="10.199999999999999" customHeight="1">
      <c r="A6" s="103" t="s">
        <v>132</v>
      </c>
      <c r="B6" s="494">
        <v>-38.32</v>
      </c>
      <c r="C6" s="231">
        <f t="shared" si="0"/>
        <v>-0.53587174348697397</v>
      </c>
      <c r="D6" s="494">
        <v>-24.95</v>
      </c>
      <c r="E6" s="461">
        <v>48.87</v>
      </c>
      <c r="F6" s="513">
        <f t="shared" si="1"/>
        <v>4.4498589381892772E-2</v>
      </c>
      <c r="G6" s="104">
        <v>46.787999999999997</v>
      </c>
      <c r="H6" s="231">
        <f t="shared" si="1"/>
        <v>-0.49243336479317867</v>
      </c>
      <c r="I6" s="104">
        <v>92.180999999999997</v>
      </c>
      <c r="J6" s="231">
        <f t="shared" si="1"/>
        <v>0.32491555874955069</v>
      </c>
      <c r="K6" s="104">
        <v>69.575000000000003</v>
      </c>
      <c r="L6" s="106">
        <f>(K6-M6)/M6</f>
        <v>-0.45187618664964985</v>
      </c>
      <c r="M6" s="104">
        <v>126.93300000000001</v>
      </c>
    </row>
    <row r="7" spans="1:23" s="107" customFormat="1" ht="10.199999999999999" customHeight="1">
      <c r="A7" s="103" t="s">
        <v>142</v>
      </c>
      <c r="B7" s="494">
        <v>-38.32</v>
      </c>
      <c r="C7" s="231">
        <f t="shared" si="0"/>
        <v>-0.53587174348697397</v>
      </c>
      <c r="D7" s="494">
        <v>-24.95</v>
      </c>
      <c r="E7" s="461">
        <v>48.87</v>
      </c>
      <c r="F7" s="513">
        <f t="shared" si="1"/>
        <v>4.4498589381892772E-2</v>
      </c>
      <c r="G7" s="104">
        <v>46.787999999999997</v>
      </c>
      <c r="H7" s="231">
        <f t="shared" si="1"/>
        <v>-0.49243336479317867</v>
      </c>
      <c r="I7" s="104">
        <v>92.180999999999997</v>
      </c>
      <c r="J7" s="231">
        <f t="shared" si="1"/>
        <v>0.32491555874955069</v>
      </c>
      <c r="K7" s="104">
        <v>69.575000000000003</v>
      </c>
      <c r="L7" s="106">
        <f>(K7-M7)/M7</f>
        <v>-0.45187618664964985</v>
      </c>
      <c r="M7" s="104">
        <v>126.93300000000001</v>
      </c>
    </row>
    <row r="8" spans="1:23" ht="10.199999999999999" customHeight="1">
      <c r="A8" s="108" t="s">
        <v>133</v>
      </c>
      <c r="B8" s="109">
        <f>B6/B5</f>
        <v>-6.9116403061178472E-2</v>
      </c>
      <c r="C8" s="106"/>
      <c r="D8" s="109">
        <f>D6/D5</f>
        <v>-4.3098236340709264E-2</v>
      </c>
      <c r="E8" s="456">
        <f>E6/E5</f>
        <v>1.822813705231591E-2</v>
      </c>
      <c r="F8" s="109"/>
      <c r="G8" s="109">
        <f>G6/G5</f>
        <v>1.6764598705570032E-2</v>
      </c>
      <c r="H8" s="106"/>
      <c r="I8" s="109">
        <f>I6/I5</f>
        <v>3.3661927341711598E-2</v>
      </c>
      <c r="J8" s="109"/>
      <c r="K8" s="109">
        <f>K6/K5</f>
        <v>2.8461375775656862E-2</v>
      </c>
      <c r="L8" s="109"/>
      <c r="M8" s="109">
        <f>M6/M5</f>
        <v>4.7696006300699062E-2</v>
      </c>
    </row>
    <row r="9" spans="1:23" ht="10.199999999999999" customHeight="1">
      <c r="A9" s="108" t="s">
        <v>134</v>
      </c>
      <c r="B9" s="110">
        <f>B3/Group!B2</f>
        <v>0.27259878275417321</v>
      </c>
      <c r="C9" s="110"/>
      <c r="D9" s="110">
        <f>D3/Group!D2</f>
        <v>0.27632226077016125</v>
      </c>
      <c r="E9" s="457">
        <f>E3/Group!E2</f>
        <v>0.23385093651114852</v>
      </c>
      <c r="F9" s="110"/>
      <c r="G9" s="110">
        <f>G3/Group!G2</f>
        <v>0.22744328806082115</v>
      </c>
      <c r="H9" s="110"/>
      <c r="I9" s="110">
        <f>I3/Group!I2</f>
        <v>0.21893999705145215</v>
      </c>
      <c r="J9" s="110"/>
      <c r="K9" s="110">
        <f>K3/Group!K2</f>
        <v>0.20794190260567433</v>
      </c>
      <c r="L9" s="110"/>
      <c r="M9" s="110">
        <f>M3/Group!M2</f>
        <v>0.20828479056584959</v>
      </c>
    </row>
    <row r="10" spans="1:23" ht="10.199999999999999" customHeight="1">
      <c r="A10" s="108" t="s">
        <v>135</v>
      </c>
      <c r="B10" s="110">
        <f>B4/Group!B3</f>
        <v>0.26725471711579307</v>
      </c>
      <c r="C10" s="110"/>
      <c r="D10" s="110">
        <f>D4/Group!D3</f>
        <v>0.29266875682389593</v>
      </c>
      <c r="E10" s="457">
        <f>E4/Group!E3</f>
        <v>0.28989139289906246</v>
      </c>
      <c r="F10" s="110"/>
      <c r="G10" s="110">
        <f>G4/Group!G3</f>
        <v>0.32381926182641541</v>
      </c>
      <c r="H10" s="110"/>
      <c r="I10" s="110">
        <f>I4/Group!I3</f>
        <v>0.31736932288397773</v>
      </c>
      <c r="J10" s="110"/>
      <c r="K10" s="110">
        <f>K4/Group!K3</f>
        <v>0.31198068550997499</v>
      </c>
      <c r="L10" s="110"/>
      <c r="M10" s="110">
        <f>M4/Group!M3</f>
        <v>0.30587245297538523</v>
      </c>
    </row>
    <row r="11" spans="1:23" ht="10.199999999999999" customHeight="1">
      <c r="A11" s="108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</row>
    <row r="12" spans="1:23" s="107" customFormat="1" ht="10.199999999999999" customHeight="1">
      <c r="A12" s="103" t="s">
        <v>101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</row>
    <row r="13" spans="1:23" s="3" customFormat="1" ht="10.199999999999999">
      <c r="A13" s="113" t="s">
        <v>102</v>
      </c>
      <c r="B13" s="114">
        <v>9154</v>
      </c>
      <c r="C13" s="139">
        <f>IF((+B13/D13)&lt;0,"n.m.",IF(B13&lt;0,(+B13/D13-1)*-1,(+B13/D13-1)))</f>
        <v>-7.3736716547386782E-3</v>
      </c>
      <c r="D13" s="495">
        <v>9222</v>
      </c>
      <c r="E13" s="462">
        <v>9231</v>
      </c>
      <c r="F13" s="498">
        <f>IF((+E13/G13)&lt;0,"n.m.",IF(E13&lt;0,(+E13/G13-1)*-1,(+E13/G13-1)))</f>
        <v>-1.7351500958058375E-2</v>
      </c>
      <c r="G13" s="114">
        <v>9394</v>
      </c>
      <c r="H13" s="139">
        <f>IF((+G13/I13)&lt;0,"n.m.",IF(G13&lt;0,(+G13/I13-1)*-1,(+G13/I13-1)))</f>
        <v>0.22477183833116032</v>
      </c>
      <c r="I13" s="114">
        <v>7670</v>
      </c>
      <c r="J13" s="139">
        <f>IF((+I13/K13)&lt;0,"n.m.",IF(I13&lt;0,(+I13/K13-1)*-1,(+I13/K13-1)))</f>
        <v>8.3639446171234866E-2</v>
      </c>
      <c r="K13" s="114">
        <v>7078</v>
      </c>
      <c r="L13" s="115"/>
      <c r="M13" s="116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s="3" customFormat="1" ht="10.199999999999999">
      <c r="A14" s="113" t="s">
        <v>103</v>
      </c>
      <c r="B14" s="114">
        <v>2284</v>
      </c>
      <c r="C14" s="139">
        <f t="shared" ref="C14:C40" si="2">IF((+B14/D14)&lt;0,"n.m.",IF(B14&lt;0,(+B14/D14-1)*-1,(+B14/D14-1)))</f>
        <v>7.4988972209968363E-3</v>
      </c>
      <c r="D14" s="495">
        <v>2267</v>
      </c>
      <c r="E14" s="462">
        <v>2303</v>
      </c>
      <c r="F14" s="498">
        <f t="shared" ref="F14:F40" si="3">IF((+E14/G14)&lt;0,"n.m.",IF(E14&lt;0,(+E14/G14-1)*-1,(+E14/G14-1)))</f>
        <v>1.9477644975652852E-2</v>
      </c>
      <c r="G14" s="114">
        <v>2259</v>
      </c>
      <c r="H14" s="139">
        <f t="shared" ref="H14:J39" si="4">IF((+G14/I14)&lt;0,"n.m.",IF(G14&lt;0,(+G14/I14-1)*-1,(+G14/I14-1)))</f>
        <v>0.52018842530282638</v>
      </c>
      <c r="I14" s="114">
        <v>1486</v>
      </c>
      <c r="J14" s="139">
        <f t="shared" si="4"/>
        <v>0.29217391304347817</v>
      </c>
      <c r="K14" s="114">
        <v>1150</v>
      </c>
      <c r="L14" s="115"/>
      <c r="M14" s="116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s="3" customFormat="1" ht="10.199999999999999">
      <c r="A15" s="113" t="s">
        <v>104</v>
      </c>
      <c r="B15" s="114">
        <v>458</v>
      </c>
      <c r="C15" s="139">
        <f t="shared" si="2"/>
        <v>2.2321428571428603E-2</v>
      </c>
      <c r="D15" s="495">
        <v>448</v>
      </c>
      <c r="E15" s="462">
        <v>453</v>
      </c>
      <c r="F15" s="498">
        <f t="shared" si="3"/>
        <v>-1.3071895424836555E-2</v>
      </c>
      <c r="G15" s="114">
        <v>459</v>
      </c>
      <c r="H15" s="139">
        <f t="shared" si="4"/>
        <v>-2.3404255319148914E-2</v>
      </c>
      <c r="I15" s="114">
        <v>470</v>
      </c>
      <c r="J15" s="139">
        <f t="shared" si="4"/>
        <v>0.22395833333333326</v>
      </c>
      <c r="K15" s="114">
        <v>384</v>
      </c>
      <c r="L15" s="115"/>
      <c r="M15" s="116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s="3" customFormat="1" ht="10.199999999999999">
      <c r="A16" s="113" t="s">
        <v>105</v>
      </c>
      <c r="B16" s="114">
        <v>645</v>
      </c>
      <c r="C16" s="139">
        <f t="shared" si="2"/>
        <v>-7.692307692307665E-3</v>
      </c>
      <c r="D16" s="495">
        <v>650</v>
      </c>
      <c r="E16" s="462">
        <v>736</v>
      </c>
      <c r="F16" s="498">
        <f t="shared" si="3"/>
        <v>5.464480874316946E-3</v>
      </c>
      <c r="G16" s="114">
        <v>732</v>
      </c>
      <c r="H16" s="139">
        <f t="shared" si="4"/>
        <v>-9.4722598105547728E-3</v>
      </c>
      <c r="I16" s="114">
        <v>739</v>
      </c>
      <c r="J16" s="139">
        <f t="shared" si="4"/>
        <v>7.8832116788321249E-2</v>
      </c>
      <c r="K16" s="114">
        <v>685</v>
      </c>
      <c r="L16" s="115"/>
      <c r="M16" s="116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11" customFormat="1" ht="10.199999999999999">
      <c r="A17" s="113" t="s">
        <v>106</v>
      </c>
      <c r="B17" s="114">
        <v>772</v>
      </c>
      <c r="C17" s="139">
        <f t="shared" si="2"/>
        <v>5.1771117166212521E-2</v>
      </c>
      <c r="D17" s="495">
        <v>734</v>
      </c>
      <c r="E17" s="462">
        <v>735</v>
      </c>
      <c r="F17" s="498">
        <f t="shared" si="3"/>
        <v>-1.8691588785046731E-2</v>
      </c>
      <c r="G17" s="114">
        <v>749</v>
      </c>
      <c r="H17" s="139">
        <f t="shared" si="4"/>
        <v>1.6282225237449044E-2</v>
      </c>
      <c r="I17" s="114">
        <v>737</v>
      </c>
      <c r="J17" s="139">
        <f t="shared" si="4"/>
        <v>0.12347560975609762</v>
      </c>
      <c r="K17" s="114">
        <v>656</v>
      </c>
      <c r="L17" s="115"/>
      <c r="M17" s="116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s="11" customFormat="1" ht="10.199999999999999">
      <c r="A18" s="113" t="s">
        <v>154</v>
      </c>
      <c r="B18" s="114">
        <v>174</v>
      </c>
      <c r="C18" s="139">
        <f t="shared" si="2"/>
        <v>-0.21621621621621623</v>
      </c>
      <c r="D18" s="495">
        <v>222</v>
      </c>
      <c r="E18" s="462">
        <v>268</v>
      </c>
      <c r="F18" s="498">
        <f t="shared" si="3"/>
        <v>0.27014218009478674</v>
      </c>
      <c r="G18" s="114">
        <v>211</v>
      </c>
      <c r="H18" s="139">
        <f t="shared" si="4"/>
        <v>9.3264248704663322E-2</v>
      </c>
      <c r="I18" s="114">
        <v>193</v>
      </c>
      <c r="J18" s="139">
        <f t="shared" si="4"/>
        <v>0.19875776397515521</v>
      </c>
      <c r="K18" s="114">
        <v>161</v>
      </c>
      <c r="L18" s="115"/>
      <c r="M18" s="116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s="11" customFormat="1" ht="10.199999999999999">
      <c r="A19" s="113" t="s">
        <v>107</v>
      </c>
      <c r="B19" s="114">
        <v>362</v>
      </c>
      <c r="C19" s="139">
        <f t="shared" si="2"/>
        <v>0.21885521885521886</v>
      </c>
      <c r="D19" s="495">
        <v>297</v>
      </c>
      <c r="E19" s="462">
        <v>321</v>
      </c>
      <c r="F19" s="498">
        <f t="shared" si="3"/>
        <v>4.2207792207792139E-2</v>
      </c>
      <c r="G19" s="114">
        <v>308</v>
      </c>
      <c r="H19" s="139">
        <f t="shared" si="4"/>
        <v>2.6666666666666616E-2</v>
      </c>
      <c r="I19" s="114">
        <v>300</v>
      </c>
      <c r="J19" s="139">
        <f t="shared" si="4"/>
        <v>-6.6225165562914245E-3</v>
      </c>
      <c r="K19" s="114">
        <v>302</v>
      </c>
      <c r="L19" s="115"/>
      <c r="M19" s="116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s="11" customFormat="1" ht="10.199999999999999">
      <c r="A20" s="113" t="s">
        <v>108</v>
      </c>
      <c r="B20" s="114">
        <v>223</v>
      </c>
      <c r="C20" s="139">
        <f t="shared" si="2"/>
        <v>4.6948356807511749E-2</v>
      </c>
      <c r="D20" s="495">
        <v>213</v>
      </c>
      <c r="E20" s="462">
        <v>217</v>
      </c>
      <c r="F20" s="498">
        <f t="shared" si="3"/>
        <v>-4.5871559633027248E-3</v>
      </c>
      <c r="G20" s="114">
        <v>218</v>
      </c>
      <c r="H20" s="139">
        <f t="shared" si="4"/>
        <v>-2.2421524663677084E-2</v>
      </c>
      <c r="I20" s="114">
        <v>223</v>
      </c>
      <c r="J20" s="139">
        <f t="shared" si="4"/>
        <v>7.7294685990338063E-2</v>
      </c>
      <c r="K20" s="114">
        <v>207</v>
      </c>
      <c r="L20" s="115"/>
      <c r="M20" s="116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s="11" customFormat="1" ht="10.199999999999999">
      <c r="A21" s="113" t="s">
        <v>109</v>
      </c>
      <c r="B21" s="114">
        <v>50</v>
      </c>
      <c r="C21" s="139">
        <f t="shared" si="2"/>
        <v>-0.51923076923076916</v>
      </c>
      <c r="D21" s="495">
        <v>104</v>
      </c>
      <c r="E21" s="462">
        <v>98</v>
      </c>
      <c r="F21" s="498">
        <f t="shared" si="3"/>
        <v>-0.11711711711711714</v>
      </c>
      <c r="G21" s="114">
        <v>111</v>
      </c>
      <c r="H21" s="139">
        <f t="shared" si="4"/>
        <v>-5.9322033898305038E-2</v>
      </c>
      <c r="I21" s="114">
        <v>118</v>
      </c>
      <c r="J21" s="139">
        <f t="shared" si="4"/>
        <v>7.2727272727272751E-2</v>
      </c>
      <c r="K21" s="114">
        <v>110</v>
      </c>
      <c r="L21" s="115"/>
      <c r="M21" s="116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s="11" customFormat="1" ht="10.199999999999999">
      <c r="A22" s="113" t="s">
        <v>110</v>
      </c>
      <c r="B22" s="114">
        <v>13</v>
      </c>
      <c r="C22" s="139">
        <f t="shared" si="2"/>
        <v>-0.48</v>
      </c>
      <c r="D22" s="495">
        <v>25</v>
      </c>
      <c r="E22" s="462">
        <v>26</v>
      </c>
      <c r="F22" s="498">
        <f t="shared" si="3"/>
        <v>4.0000000000000036E-2</v>
      </c>
      <c r="G22" s="114">
        <v>25</v>
      </c>
      <c r="H22" s="139">
        <f t="shared" si="4"/>
        <v>-0.21875</v>
      </c>
      <c r="I22" s="114">
        <v>32</v>
      </c>
      <c r="J22" s="139">
        <f t="shared" si="4"/>
        <v>-3.0303030303030276E-2</v>
      </c>
      <c r="K22" s="114">
        <v>33</v>
      </c>
      <c r="L22" s="115"/>
      <c r="M22" s="116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s="11" customFormat="1" ht="10.199999999999999">
      <c r="A23" s="113" t="s">
        <v>111</v>
      </c>
      <c r="B23" s="114">
        <v>30</v>
      </c>
      <c r="C23" s="139">
        <f t="shared" si="2"/>
        <v>-0.26829268292682928</v>
      </c>
      <c r="D23" s="495">
        <v>41</v>
      </c>
      <c r="E23" s="462">
        <v>44</v>
      </c>
      <c r="F23" s="498">
        <f t="shared" si="3"/>
        <v>0.12820512820512819</v>
      </c>
      <c r="G23" s="114">
        <v>39</v>
      </c>
      <c r="H23" s="139">
        <f t="shared" si="4"/>
        <v>0.5</v>
      </c>
      <c r="I23" s="114">
        <v>26</v>
      </c>
      <c r="J23" s="139">
        <f t="shared" si="4"/>
        <v>4.0000000000000036E-2</v>
      </c>
      <c r="K23" s="114">
        <v>25</v>
      </c>
      <c r="L23" s="115"/>
      <c r="M23" s="116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3" s="11" customFormat="1" ht="10.199999999999999">
      <c r="A24" s="113" t="s">
        <v>112</v>
      </c>
      <c r="B24" s="114">
        <v>22</v>
      </c>
      <c r="C24" s="139">
        <f t="shared" si="2"/>
        <v>-4.3478260869565188E-2</v>
      </c>
      <c r="D24" s="495">
        <v>23</v>
      </c>
      <c r="E24" s="462">
        <v>22</v>
      </c>
      <c r="F24" s="498">
        <f t="shared" si="3"/>
        <v>-4.3478260869565188E-2</v>
      </c>
      <c r="G24" s="114">
        <v>23</v>
      </c>
      <c r="H24" s="139">
        <f t="shared" si="4"/>
        <v>-4.166666666666663E-2</v>
      </c>
      <c r="I24" s="114">
        <v>24</v>
      </c>
      <c r="J24" s="139">
        <f t="shared" si="4"/>
        <v>-0.11111111111111116</v>
      </c>
      <c r="K24" s="114">
        <v>27</v>
      </c>
      <c r="L24" s="115"/>
      <c r="M24" s="116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3" s="11" customFormat="1" ht="10.199999999999999">
      <c r="A25" s="113" t="s">
        <v>113</v>
      </c>
      <c r="B25" s="114">
        <v>49</v>
      </c>
      <c r="C25" s="139">
        <f t="shared" si="2"/>
        <v>-0.24615384615384617</v>
      </c>
      <c r="D25" s="495">
        <v>65</v>
      </c>
      <c r="E25" s="462">
        <v>59</v>
      </c>
      <c r="F25" s="498">
        <f t="shared" si="3"/>
        <v>-0.36559139784946237</v>
      </c>
      <c r="G25" s="114">
        <v>93</v>
      </c>
      <c r="H25" s="139">
        <f t="shared" si="4"/>
        <v>-0.39215686274509809</v>
      </c>
      <c r="I25" s="114">
        <v>153</v>
      </c>
      <c r="J25" s="139">
        <f t="shared" si="4"/>
        <v>5.5172413793103559E-2</v>
      </c>
      <c r="K25" s="114">
        <v>145</v>
      </c>
      <c r="L25" s="115"/>
      <c r="M25" s="116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3" s="11" customFormat="1" ht="10.199999999999999">
      <c r="A26" s="113" t="s">
        <v>114</v>
      </c>
      <c r="B26" s="118">
        <v>49</v>
      </c>
      <c r="C26" s="139">
        <f t="shared" si="2"/>
        <v>-0.10909090909090913</v>
      </c>
      <c r="D26" s="338">
        <v>55</v>
      </c>
      <c r="E26" s="463">
        <v>59</v>
      </c>
      <c r="F26" s="498">
        <f t="shared" si="3"/>
        <v>-1.6666666666666718E-2</v>
      </c>
      <c r="G26" s="118">
        <v>60</v>
      </c>
      <c r="H26" s="139">
        <f t="shared" si="4"/>
        <v>-0.55555555555555558</v>
      </c>
      <c r="I26" s="118">
        <v>135</v>
      </c>
      <c r="J26" s="139">
        <f t="shared" si="4"/>
        <v>-0.18181818181818177</v>
      </c>
      <c r="K26" s="118">
        <v>165</v>
      </c>
      <c r="L26" s="115"/>
      <c r="M26" s="119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s="11" customFormat="1" ht="10.199999999999999">
      <c r="A27" s="113" t="s">
        <v>115</v>
      </c>
      <c r="B27" s="114">
        <v>27</v>
      </c>
      <c r="C27" s="139">
        <f t="shared" si="2"/>
        <v>8.0000000000000071E-2</v>
      </c>
      <c r="D27" s="495">
        <v>25</v>
      </c>
      <c r="E27" s="462">
        <v>25</v>
      </c>
      <c r="F27" s="498">
        <f t="shared" si="3"/>
        <v>8.6956521739130377E-2</v>
      </c>
      <c r="G27" s="114">
        <v>23</v>
      </c>
      <c r="H27" s="139">
        <f t="shared" si="4"/>
        <v>-0.47727272727272729</v>
      </c>
      <c r="I27" s="114">
        <v>44</v>
      </c>
      <c r="J27" s="139"/>
      <c r="K27" s="114">
        <v>0</v>
      </c>
      <c r="L27" s="115"/>
      <c r="M27" s="116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3" s="3" customFormat="1" ht="10.199999999999999">
      <c r="A28" s="113" t="s">
        <v>116</v>
      </c>
      <c r="B28" s="114">
        <v>163</v>
      </c>
      <c r="C28" s="139">
        <f t="shared" si="2"/>
        <v>-0.29741379310344829</v>
      </c>
      <c r="D28" s="495">
        <v>232</v>
      </c>
      <c r="E28" s="462">
        <v>203</v>
      </c>
      <c r="F28" s="498">
        <f t="shared" si="3"/>
        <v>-0.30000000000000004</v>
      </c>
      <c r="G28" s="114">
        <v>290</v>
      </c>
      <c r="H28" s="139">
        <f t="shared" si="4"/>
        <v>1.7543859649122862E-2</v>
      </c>
      <c r="I28" s="114">
        <v>285</v>
      </c>
      <c r="J28" s="139">
        <f t="shared" si="4"/>
        <v>0.39705882352941169</v>
      </c>
      <c r="K28" s="114">
        <v>204</v>
      </c>
      <c r="L28" s="115"/>
      <c r="M28" s="116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s="11" customFormat="1" ht="10.199999999999999">
      <c r="A29" s="113" t="s">
        <v>117</v>
      </c>
      <c r="B29" s="114">
        <v>12</v>
      </c>
      <c r="C29" s="139">
        <f t="shared" si="2"/>
        <v>1</v>
      </c>
      <c r="D29" s="495">
        <v>6</v>
      </c>
      <c r="E29" s="462">
        <v>12</v>
      </c>
      <c r="F29" s="498">
        <f t="shared" si="3"/>
        <v>3</v>
      </c>
      <c r="G29" s="114">
        <v>3</v>
      </c>
      <c r="H29" s="139">
        <f t="shared" si="4"/>
        <v>2</v>
      </c>
      <c r="I29" s="114">
        <v>1</v>
      </c>
      <c r="J29" s="139"/>
      <c r="K29" s="114">
        <v>0</v>
      </c>
      <c r="L29" s="115"/>
      <c r="M29" s="116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s="11" customFormat="1" ht="10.199999999999999">
      <c r="A30" s="113" t="s">
        <v>118</v>
      </c>
      <c r="B30" s="114">
        <v>281</v>
      </c>
      <c r="C30" s="139">
        <f t="shared" si="2"/>
        <v>1.0661764705882355</v>
      </c>
      <c r="D30" s="495">
        <v>136</v>
      </c>
      <c r="E30" s="462">
        <v>146</v>
      </c>
      <c r="F30" s="498">
        <f t="shared" si="3"/>
        <v>0.22689075630252109</v>
      </c>
      <c r="G30" s="114">
        <v>119</v>
      </c>
      <c r="H30" s="139">
        <f t="shared" si="4"/>
        <v>0.21428571428571419</v>
      </c>
      <c r="I30" s="114">
        <v>98</v>
      </c>
      <c r="J30" s="139">
        <f t="shared" si="4"/>
        <v>-8.411214953271029E-2</v>
      </c>
      <c r="K30" s="114">
        <v>107</v>
      </c>
      <c r="L30" s="115"/>
      <c r="M30" s="116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s="11" customFormat="1" ht="10.199999999999999">
      <c r="A31" s="113" t="s">
        <v>119</v>
      </c>
      <c r="B31" s="114">
        <v>3892</v>
      </c>
      <c r="C31" s="139">
        <f t="shared" si="2"/>
        <v>-0.23174101855507301</v>
      </c>
      <c r="D31" s="495">
        <v>5066</v>
      </c>
      <c r="E31" s="462">
        <v>4514</v>
      </c>
      <c r="F31" s="498">
        <f t="shared" si="3"/>
        <v>-0.21454672002784059</v>
      </c>
      <c r="G31" s="114">
        <v>5747</v>
      </c>
      <c r="H31" s="139">
        <f t="shared" si="4"/>
        <v>-0.1045497039576192</v>
      </c>
      <c r="I31" s="114">
        <v>6418</v>
      </c>
      <c r="J31" s="139">
        <f t="shared" si="4"/>
        <v>2.9515559833172889E-2</v>
      </c>
      <c r="K31" s="114">
        <v>6234</v>
      </c>
      <c r="L31" s="115"/>
      <c r="M31" s="116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s="11" customFormat="1" ht="10.199999999999999">
      <c r="A32" s="113" t="s">
        <v>120</v>
      </c>
      <c r="B32" s="114">
        <v>5043</v>
      </c>
      <c r="C32" s="139">
        <f t="shared" si="2"/>
        <v>0.13888888888888884</v>
      </c>
      <c r="D32" s="495">
        <v>4428</v>
      </c>
      <c r="E32" s="462">
        <v>4948</v>
      </c>
      <c r="F32" s="498">
        <f t="shared" si="3"/>
        <v>0.19343945972021226</v>
      </c>
      <c r="G32" s="114">
        <v>4146</v>
      </c>
      <c r="H32" s="139">
        <f t="shared" si="4"/>
        <v>0.34174757281553392</v>
      </c>
      <c r="I32" s="114">
        <v>3090</v>
      </c>
      <c r="J32" s="139">
        <f t="shared" si="4"/>
        <v>0.19489559164733183</v>
      </c>
      <c r="K32" s="114">
        <v>2586</v>
      </c>
      <c r="L32" s="121"/>
      <c r="M32" s="116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s="11" customFormat="1" ht="10.199999999999999">
      <c r="A33" s="113" t="s">
        <v>121</v>
      </c>
      <c r="B33" s="123">
        <v>1050</v>
      </c>
      <c r="C33" s="139">
        <f t="shared" si="2"/>
        <v>0.1087645195353748</v>
      </c>
      <c r="D33" s="496">
        <v>947</v>
      </c>
      <c r="E33" s="464">
        <v>883</v>
      </c>
      <c r="F33" s="498">
        <f t="shared" si="3"/>
        <v>-0.27265238879736409</v>
      </c>
      <c r="G33" s="123">
        <v>1214</v>
      </c>
      <c r="H33" s="139">
        <f t="shared" si="4"/>
        <v>-0.48776371308016875</v>
      </c>
      <c r="I33" s="123">
        <v>2370</v>
      </c>
      <c r="J33" s="139">
        <f t="shared" si="4"/>
        <v>-9.7486671744097531E-2</v>
      </c>
      <c r="K33" s="123">
        <v>2626</v>
      </c>
      <c r="L33" s="115"/>
      <c r="M33" s="124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s="11" customFormat="1" ht="10.199999999999999">
      <c r="A34" s="113" t="s">
        <v>122</v>
      </c>
      <c r="B34" s="123">
        <v>790</v>
      </c>
      <c r="C34" s="139">
        <f t="shared" si="2"/>
        <v>0.40569395017793597</v>
      </c>
      <c r="D34" s="496">
        <v>562</v>
      </c>
      <c r="E34" s="464">
        <v>724</v>
      </c>
      <c r="F34" s="498">
        <f t="shared" si="3"/>
        <v>-0.15222482435597184</v>
      </c>
      <c r="G34" s="123">
        <v>854</v>
      </c>
      <c r="H34" s="139">
        <f t="shared" si="4"/>
        <v>0.22525107604017225</v>
      </c>
      <c r="I34" s="123">
        <v>697</v>
      </c>
      <c r="J34" s="139">
        <f t="shared" si="4"/>
        <v>1.0144927536231974E-2</v>
      </c>
      <c r="K34" s="123">
        <v>690</v>
      </c>
      <c r="L34" s="115"/>
      <c r="M34" s="124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s="11" customFormat="1" ht="10.199999999999999">
      <c r="A35" s="120" t="s">
        <v>102</v>
      </c>
      <c r="B35" s="125">
        <f>B13</f>
        <v>9154</v>
      </c>
      <c r="C35" s="139">
        <f t="shared" si="2"/>
        <v>-7.3736716547386782E-3</v>
      </c>
      <c r="D35" s="125">
        <f>D13</f>
        <v>9222</v>
      </c>
      <c r="E35" s="339">
        <f>E13</f>
        <v>9231</v>
      </c>
      <c r="F35" s="498">
        <f t="shared" si="3"/>
        <v>-1.7351500958058375E-2</v>
      </c>
      <c r="G35" s="125">
        <f>G13</f>
        <v>9394</v>
      </c>
      <c r="H35" s="139">
        <f t="shared" si="4"/>
        <v>0.22477183833116032</v>
      </c>
      <c r="I35" s="125">
        <f>I13</f>
        <v>7670</v>
      </c>
      <c r="J35" s="139">
        <f t="shared" si="4"/>
        <v>8.3639446171234866E-2</v>
      </c>
      <c r="K35" s="125">
        <f>K13</f>
        <v>7078</v>
      </c>
      <c r="L35" s="115"/>
      <c r="M35" s="126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s="11" customFormat="1" ht="10.199999999999999">
      <c r="A36" s="120" t="s">
        <v>103</v>
      </c>
      <c r="B36" s="125">
        <f>B14</f>
        <v>2284</v>
      </c>
      <c r="C36" s="139">
        <f t="shared" si="2"/>
        <v>7.4988972209968363E-3</v>
      </c>
      <c r="D36" s="125">
        <f>D14</f>
        <v>2267</v>
      </c>
      <c r="E36" s="339">
        <f>E14</f>
        <v>2303</v>
      </c>
      <c r="F36" s="498">
        <f t="shared" si="3"/>
        <v>1.9477644975652852E-2</v>
      </c>
      <c r="G36" s="125">
        <f>G14</f>
        <v>2259</v>
      </c>
      <c r="H36" s="139">
        <f t="shared" si="4"/>
        <v>0.52018842530282638</v>
      </c>
      <c r="I36" s="125">
        <f>I14</f>
        <v>1486</v>
      </c>
      <c r="J36" s="139">
        <f t="shared" si="4"/>
        <v>0.29217391304347817</v>
      </c>
      <c r="K36" s="125">
        <f>K14</f>
        <v>1150</v>
      </c>
      <c r="L36" s="115"/>
      <c r="M36" s="126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s="3" customFormat="1" ht="10.199999999999999">
      <c r="A37" s="120" t="s">
        <v>123</v>
      </c>
      <c r="B37" s="118">
        <f>B15+B16+B17+B18+B19+B20+B21+B22+B23+B24</f>
        <v>2749</v>
      </c>
      <c r="C37" s="139">
        <f t="shared" si="2"/>
        <v>-2.9017047515415006E-3</v>
      </c>
      <c r="D37" s="118">
        <f>D15+D16+D17+D18+D19+D20+D21+D22+D23+D24</f>
        <v>2757</v>
      </c>
      <c r="E37" s="338">
        <f>E15+E16+E17+E18+E19+E20+E21+E22+E23+E24</f>
        <v>2920</v>
      </c>
      <c r="F37" s="498">
        <f t="shared" si="3"/>
        <v>1.5652173913043521E-2</v>
      </c>
      <c r="G37" s="118">
        <f>G15+G16+G17+G18+G19+G20+G21+G22+G23+G24</f>
        <v>2875</v>
      </c>
      <c r="H37" s="139">
        <f t="shared" si="4"/>
        <v>4.5422781271837742E-3</v>
      </c>
      <c r="I37" s="118">
        <f>I15+I16+I17+I18+I19+I20+I21+I22+I23+I24</f>
        <v>2862</v>
      </c>
      <c r="J37" s="139">
        <f t="shared" si="4"/>
        <v>0.10501930501930512</v>
      </c>
      <c r="K37" s="118">
        <f>K15+K16+K17+K18+K19+K20+K21+K22+K23+K24</f>
        <v>2590</v>
      </c>
      <c r="L37" s="115"/>
      <c r="M37" s="119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s="3" customFormat="1" ht="10.199999999999999">
      <c r="A38" s="120" t="s">
        <v>124</v>
      </c>
      <c r="B38" s="118">
        <f>B25+B26+B27+B28+B29+B30</f>
        <v>581</v>
      </c>
      <c r="C38" s="139">
        <f t="shared" si="2"/>
        <v>0.11946050096339111</v>
      </c>
      <c r="D38" s="118">
        <f>D25+D26+D27+D28+D29+D30</f>
        <v>519</v>
      </c>
      <c r="E38" s="338">
        <f>E25+E26+E27+E28+E29+E30</f>
        <v>504</v>
      </c>
      <c r="F38" s="498">
        <f t="shared" si="3"/>
        <v>-0.1428571428571429</v>
      </c>
      <c r="G38" s="118">
        <f>G25+G26+G27+G28+G29+G30</f>
        <v>588</v>
      </c>
      <c r="H38" s="139">
        <f t="shared" si="4"/>
        <v>-0.17877094972067042</v>
      </c>
      <c r="I38" s="118">
        <f>I25+I26+I27+I28+I29+I30</f>
        <v>716</v>
      </c>
      <c r="J38" s="139">
        <f t="shared" si="4"/>
        <v>0.1529790660225443</v>
      </c>
      <c r="K38" s="118">
        <f>K25+K26+K27+K28+K29+K30</f>
        <v>621</v>
      </c>
      <c r="L38" s="115"/>
      <c r="M38" s="119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s="11" customFormat="1" ht="10.199999999999999">
      <c r="A39" s="120" t="s">
        <v>125</v>
      </c>
      <c r="B39" s="118">
        <f>B31+B32+B33+B34</f>
        <v>10775</v>
      </c>
      <c r="C39" s="139">
        <f t="shared" si="2"/>
        <v>-2.0721621375988319E-2</v>
      </c>
      <c r="D39" s="118">
        <f>D31+D32+D33+D34</f>
        <v>11003</v>
      </c>
      <c r="E39" s="338">
        <f>E31+E32+E33+E34</f>
        <v>11069</v>
      </c>
      <c r="F39" s="498">
        <f t="shared" si="3"/>
        <v>-7.4575704372544127E-2</v>
      </c>
      <c r="G39" s="118">
        <f>G31+G32+G33+G34</f>
        <v>11961</v>
      </c>
      <c r="H39" s="139">
        <f t="shared" si="4"/>
        <v>-4.8827037773359838E-2</v>
      </c>
      <c r="I39" s="118">
        <f>I31+I32+I33+I34</f>
        <v>12575</v>
      </c>
      <c r="J39" s="139">
        <f t="shared" si="4"/>
        <v>3.6173368490441726E-2</v>
      </c>
      <c r="K39" s="118">
        <f>K31+K32+K33+K34</f>
        <v>12136</v>
      </c>
      <c r="L39" s="115"/>
      <c r="M39" s="119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s="3" customFormat="1" ht="10.199999999999999">
      <c r="A40" s="127" t="s">
        <v>126</v>
      </c>
      <c r="B40" s="128">
        <f>SUM(B35:B39)</f>
        <v>25543</v>
      </c>
      <c r="C40" s="231">
        <f t="shared" si="2"/>
        <v>-8.7317603228811436E-3</v>
      </c>
      <c r="D40" s="128">
        <f>SUM(D35:D39)</f>
        <v>25768</v>
      </c>
      <c r="E40" s="340">
        <f>SUM(E35:E39)</f>
        <v>26027</v>
      </c>
      <c r="F40" s="513">
        <f t="shared" si="3"/>
        <v>-3.8778298925287169E-2</v>
      </c>
      <c r="G40" s="128">
        <f>SUM(G35:G39)</f>
        <v>27077</v>
      </c>
      <c r="H40" s="231">
        <f t="shared" ref="H40:J40" si="5">IF((+G40/I40)&lt;0,"n.m.",IF(G40&lt;0,(+G40/I40-1)*-1,(+G40/I40-1)))</f>
        <v>6.9856572760677915E-2</v>
      </c>
      <c r="I40" s="128">
        <f>SUM(I35:I39)</f>
        <v>25309</v>
      </c>
      <c r="J40" s="231">
        <f t="shared" si="5"/>
        <v>7.3552492046659701E-2</v>
      </c>
      <c r="K40" s="128">
        <f>SUM(K35:K39)</f>
        <v>23575</v>
      </c>
      <c r="L40" s="105">
        <f>(K40-M40)/M40</f>
        <v>0.15416625868990502</v>
      </c>
      <c r="M40" s="129">
        <v>20426</v>
      </c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s="137" customFormat="1" ht="10.199999999999999">
      <c r="A41" s="131" t="s">
        <v>136</v>
      </c>
      <c r="B41" s="132">
        <f>B40/Group!B152</f>
        <v>0.36658103589316726</v>
      </c>
      <c r="C41" s="115"/>
      <c r="D41" s="132">
        <f>D40/Group!D152</f>
        <v>0.37449133821648645</v>
      </c>
      <c r="E41" s="341">
        <f>E40/Group!E152</f>
        <v>0.36229624577179526</v>
      </c>
      <c r="F41" s="132"/>
      <c r="G41" s="132">
        <f>G40/Group!G152</f>
        <v>0.36932414921912299</v>
      </c>
      <c r="H41" s="115"/>
      <c r="I41" s="132">
        <f>I40/Group!I152</f>
        <v>0.34714563959070582</v>
      </c>
      <c r="J41" s="133"/>
      <c r="K41" s="132">
        <f>K40/Group!K152</f>
        <v>0.3225034199726402</v>
      </c>
      <c r="L41" s="133"/>
      <c r="M41" s="133">
        <f>M40/Group!M152</f>
        <v>0.27598973111741659</v>
      </c>
      <c r="N41" s="136"/>
      <c r="O41" s="136"/>
      <c r="P41" s="136"/>
      <c r="Q41" s="136"/>
      <c r="R41" s="136"/>
      <c r="S41" s="136"/>
      <c r="T41" s="136"/>
      <c r="U41" s="136"/>
      <c r="V41" s="136"/>
      <c r="W41" s="136"/>
    </row>
    <row r="42" spans="1:23" ht="12" customHeight="1">
      <c r="A42" s="108"/>
      <c r="B42" s="111"/>
      <c r="C42" s="115"/>
      <c r="D42" s="111"/>
      <c r="E42" s="111"/>
      <c r="F42" s="111"/>
      <c r="G42" s="111"/>
      <c r="H42" s="115"/>
      <c r="I42" s="111"/>
      <c r="J42" s="110"/>
      <c r="K42" s="111"/>
      <c r="L42" s="110"/>
      <c r="M42" s="111"/>
    </row>
    <row r="43" spans="1:23" s="107" customFormat="1" ht="12" customHeight="1">
      <c r="A43" s="127" t="s">
        <v>3</v>
      </c>
      <c r="B43" s="112"/>
      <c r="C43" s="115"/>
      <c r="D43" s="112"/>
      <c r="E43" s="112"/>
      <c r="F43" s="112"/>
      <c r="G43" s="112"/>
      <c r="H43" s="115"/>
      <c r="I43" s="112"/>
      <c r="J43" s="110"/>
      <c r="K43" s="112"/>
      <c r="L43" s="110"/>
      <c r="M43" s="112"/>
    </row>
    <row r="44" spans="1:23" s="3" customFormat="1" ht="10.199999999999999">
      <c r="A44" s="113" t="s">
        <v>102</v>
      </c>
      <c r="B44" s="138">
        <v>298.66000000000003</v>
      </c>
      <c r="C44" s="139">
        <f t="shared" ref="C44:C71" si="6">IF((+B44/D44)&lt;0,"n.m.",IF(B44&lt;0,(+B44/D44-1)*-1,(+B44/D44-1)))</f>
        <v>-3.7729161967973601E-2</v>
      </c>
      <c r="D44" s="497">
        <v>310.37</v>
      </c>
      <c r="E44" s="465">
        <v>1411.49</v>
      </c>
      <c r="F44" s="498">
        <f t="shared" ref="F44:J70" si="7">IF((+E44/G44)&lt;0,"n.m.",IF(E44&lt;0,(+E44/G44-1)*-1,(+E44/G44-1)))</f>
        <v>1.2910823100440449E-3</v>
      </c>
      <c r="G44" s="138">
        <v>1409.67</v>
      </c>
      <c r="H44" s="498">
        <f t="shared" si="7"/>
        <v>0.13413250734140547</v>
      </c>
      <c r="I44" s="138">
        <v>1242.95</v>
      </c>
      <c r="J44" s="139">
        <f t="shared" si="7"/>
        <v>0.10274677502351071</v>
      </c>
      <c r="K44" s="138">
        <v>1127.1400000000001</v>
      </c>
      <c r="L44" s="115"/>
      <c r="M44" s="116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s="3" customFormat="1" ht="10.199999999999999">
      <c r="A45" s="113" t="s">
        <v>103</v>
      </c>
      <c r="B45" s="138">
        <v>84.74</v>
      </c>
      <c r="C45" s="139">
        <f t="shared" si="6"/>
        <v>0.14839409134028991</v>
      </c>
      <c r="D45" s="497">
        <v>73.790000000000006</v>
      </c>
      <c r="E45" s="465">
        <v>379.26</v>
      </c>
      <c r="F45" s="498">
        <f t="shared" si="7"/>
        <v>7.8791671407441033E-2</v>
      </c>
      <c r="G45" s="138">
        <v>351.56</v>
      </c>
      <c r="H45" s="139">
        <f t="shared" si="7"/>
        <v>9.7390435759770133E-2</v>
      </c>
      <c r="I45" s="138">
        <v>320.36</v>
      </c>
      <c r="J45" s="139">
        <f t="shared" si="7"/>
        <v>8.7735977183213576E-2</v>
      </c>
      <c r="K45" s="138">
        <v>294.52</v>
      </c>
      <c r="L45" s="115"/>
      <c r="M45" s="116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s="3" customFormat="1" ht="10.199999999999999">
      <c r="A46" s="113" t="s">
        <v>104</v>
      </c>
      <c r="B46" s="138">
        <v>8.57</v>
      </c>
      <c r="C46" s="139">
        <f t="shared" si="6"/>
        <v>0.30441400304414001</v>
      </c>
      <c r="D46" s="497">
        <v>6.57</v>
      </c>
      <c r="E46" s="465">
        <v>49.4</v>
      </c>
      <c r="F46" s="498">
        <f t="shared" si="7"/>
        <v>-0.21362623368354028</v>
      </c>
      <c r="G46" s="138">
        <v>62.82</v>
      </c>
      <c r="H46" s="139">
        <f t="shared" si="7"/>
        <v>-0.25400783754898459</v>
      </c>
      <c r="I46" s="138">
        <v>84.21</v>
      </c>
      <c r="J46" s="139">
        <f t="shared" si="7"/>
        <v>0.6150747986191023</v>
      </c>
      <c r="K46" s="138">
        <v>52.14</v>
      </c>
      <c r="L46" s="115"/>
      <c r="M46" s="116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s="3" customFormat="1" ht="10.199999999999999">
      <c r="A47" s="113" t="s">
        <v>105</v>
      </c>
      <c r="B47" s="138">
        <v>13.26</v>
      </c>
      <c r="C47" s="139">
        <f t="shared" si="6"/>
        <v>0.22891566265060259</v>
      </c>
      <c r="D47" s="497">
        <v>10.79</v>
      </c>
      <c r="E47" s="465">
        <v>102.95</v>
      </c>
      <c r="F47" s="498">
        <f t="shared" si="7"/>
        <v>-8.6512866015971635E-2</v>
      </c>
      <c r="G47" s="138">
        <v>112.7</v>
      </c>
      <c r="H47" s="139">
        <f t="shared" si="7"/>
        <v>3.546490260933477E-2</v>
      </c>
      <c r="I47" s="138">
        <v>108.84</v>
      </c>
      <c r="J47" s="139">
        <f t="shared" si="7"/>
        <v>0.16818718471611027</v>
      </c>
      <c r="K47" s="138">
        <v>93.17</v>
      </c>
      <c r="L47" s="115"/>
      <c r="M47" s="116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s="11" customFormat="1" ht="10.199999999999999">
      <c r="A48" s="113" t="s">
        <v>106</v>
      </c>
      <c r="B48" s="138">
        <v>22.5</v>
      </c>
      <c r="C48" s="139">
        <f t="shared" si="6"/>
        <v>0.39751552795031042</v>
      </c>
      <c r="D48" s="497">
        <v>16.100000000000001</v>
      </c>
      <c r="E48" s="465">
        <v>110.48</v>
      </c>
      <c r="F48" s="498">
        <f t="shared" si="7"/>
        <v>-6.6339896898504169E-2</v>
      </c>
      <c r="G48" s="138">
        <v>118.33</v>
      </c>
      <c r="H48" s="139">
        <f t="shared" si="7"/>
        <v>0.10392760518705102</v>
      </c>
      <c r="I48" s="138">
        <v>107.19</v>
      </c>
      <c r="J48" s="139">
        <f t="shared" si="7"/>
        <v>0.24871854613233912</v>
      </c>
      <c r="K48" s="138">
        <v>85.84</v>
      </c>
      <c r="L48" s="115"/>
      <c r="M48" s="116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1:23" s="11" customFormat="1" ht="10.199999999999999">
      <c r="A49" s="113" t="s">
        <v>154</v>
      </c>
      <c r="B49" s="138">
        <v>9.07</v>
      </c>
      <c r="C49" s="139"/>
      <c r="D49" s="497">
        <v>5.7</v>
      </c>
      <c r="E49" s="465">
        <v>30.78</v>
      </c>
      <c r="F49" s="498">
        <f t="shared" si="7"/>
        <v>2.9160305343511452</v>
      </c>
      <c r="G49" s="138">
        <v>7.86</v>
      </c>
      <c r="H49" s="139">
        <f t="shared" si="7"/>
        <v>-0.62517882689556503</v>
      </c>
      <c r="I49" s="138">
        <v>20.97</v>
      </c>
      <c r="J49" s="139">
        <f t="shared" si="7"/>
        <v>1.7128072445019402</v>
      </c>
      <c r="K49" s="138">
        <v>7.73</v>
      </c>
      <c r="L49" s="115"/>
      <c r="M49" s="116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pans="1:23" s="11" customFormat="1" ht="10.199999999999999">
      <c r="A50" s="113" t="s">
        <v>107</v>
      </c>
      <c r="B50" s="138">
        <v>11.7</v>
      </c>
      <c r="C50" s="139">
        <f t="shared" si="6"/>
        <v>1.1869158878504673</v>
      </c>
      <c r="D50" s="497">
        <v>5.35</v>
      </c>
      <c r="E50" s="465">
        <v>38.94</v>
      </c>
      <c r="F50" s="498">
        <f t="shared" si="7"/>
        <v>-0.2098214285714286</v>
      </c>
      <c r="G50" s="138">
        <v>49.28</v>
      </c>
      <c r="H50" s="139">
        <f t="shared" si="7"/>
        <v>0.24949290060851936</v>
      </c>
      <c r="I50" s="138">
        <v>39.44</v>
      </c>
      <c r="J50" s="139">
        <f t="shared" si="7"/>
        <v>4.9494411921234605E-2</v>
      </c>
      <c r="K50" s="138">
        <v>37.58</v>
      </c>
      <c r="L50" s="115"/>
      <c r="M50" s="116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1:23" s="11" customFormat="1" ht="10.199999999999999">
      <c r="A51" s="113" t="s">
        <v>108</v>
      </c>
      <c r="B51" s="138">
        <v>2.79</v>
      </c>
      <c r="C51" s="139">
        <f t="shared" si="6"/>
        <v>-0.10289389067524113</v>
      </c>
      <c r="D51" s="497">
        <v>3.11</v>
      </c>
      <c r="E51" s="465">
        <v>26</v>
      </c>
      <c r="F51" s="498">
        <f t="shared" si="7"/>
        <v>-0.11983750846310082</v>
      </c>
      <c r="G51" s="138">
        <v>29.54</v>
      </c>
      <c r="H51" s="139">
        <f t="shared" si="7"/>
        <v>0.13136729222520116</v>
      </c>
      <c r="I51" s="138">
        <v>26.11</v>
      </c>
      <c r="J51" s="139">
        <f t="shared" si="7"/>
        <v>-0.14840182648401834</v>
      </c>
      <c r="K51" s="138">
        <v>30.66</v>
      </c>
      <c r="L51" s="115"/>
      <c r="M51" s="116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pans="1:23" s="11" customFormat="1" ht="10.199999999999999">
      <c r="A52" s="113" t="s">
        <v>109</v>
      </c>
      <c r="B52" s="138">
        <v>2.36</v>
      </c>
      <c r="C52" s="139">
        <f t="shared" si="6"/>
        <v>0.19191919191919182</v>
      </c>
      <c r="D52" s="497">
        <v>1.98</v>
      </c>
      <c r="E52" s="465">
        <v>10.33</v>
      </c>
      <c r="F52" s="498">
        <f t="shared" si="7"/>
        <v>-9.3064091308165064E-2</v>
      </c>
      <c r="G52" s="138">
        <v>11.39</v>
      </c>
      <c r="H52" s="139">
        <f t="shared" si="7"/>
        <v>-0.33547257876312719</v>
      </c>
      <c r="I52" s="138">
        <v>17.14</v>
      </c>
      <c r="J52" s="139">
        <f t="shared" si="7"/>
        <v>-9.1679915209326945E-2</v>
      </c>
      <c r="K52" s="138">
        <v>18.87</v>
      </c>
      <c r="L52" s="115"/>
      <c r="M52" s="116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spans="1:23" s="11" customFormat="1" ht="10.199999999999999">
      <c r="A53" s="113" t="s">
        <v>110</v>
      </c>
      <c r="B53" s="138">
        <v>1.17</v>
      </c>
      <c r="C53" s="139">
        <f t="shared" si="6"/>
        <v>-0.24025974025974028</v>
      </c>
      <c r="D53" s="497">
        <v>1.54</v>
      </c>
      <c r="E53" s="465">
        <v>14.67</v>
      </c>
      <c r="F53" s="498">
        <f t="shared" si="7"/>
        <v>0.52178423236514515</v>
      </c>
      <c r="G53" s="138">
        <v>9.64</v>
      </c>
      <c r="H53" s="139">
        <f t="shared" si="7"/>
        <v>-0.10325581395348837</v>
      </c>
      <c r="I53" s="138">
        <v>10.75</v>
      </c>
      <c r="J53" s="139">
        <f t="shared" si="7"/>
        <v>4.7758284600389889E-2</v>
      </c>
      <c r="K53" s="138">
        <v>10.26</v>
      </c>
      <c r="L53" s="115"/>
      <c r="M53" s="116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pans="1:23" s="11" customFormat="1" ht="10.199999999999999">
      <c r="A54" s="113" t="s">
        <v>111</v>
      </c>
      <c r="B54" s="138">
        <v>0.11</v>
      </c>
      <c r="C54" s="139">
        <f t="shared" si="6"/>
        <v>-0.85526315789473684</v>
      </c>
      <c r="D54" s="497">
        <v>0.76</v>
      </c>
      <c r="E54" s="465">
        <v>3.42</v>
      </c>
      <c r="F54" s="498">
        <f t="shared" si="7"/>
        <v>0.37349397590361422</v>
      </c>
      <c r="G54" s="138">
        <v>2.4900000000000002</v>
      </c>
      <c r="H54" s="139">
        <f t="shared" si="7"/>
        <v>0.74125874125874147</v>
      </c>
      <c r="I54" s="138">
        <v>1.43</v>
      </c>
      <c r="J54" s="139">
        <f t="shared" si="7"/>
        <v>0.5888888888888888</v>
      </c>
      <c r="K54" s="138">
        <v>0.9</v>
      </c>
      <c r="L54" s="115"/>
      <c r="M54" s="116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3" s="11" customFormat="1" ht="10.199999999999999">
      <c r="A55" s="113" t="s">
        <v>112</v>
      </c>
      <c r="B55" s="138">
        <v>0.53</v>
      </c>
      <c r="C55" s="139">
        <f t="shared" si="6"/>
        <v>-3.6363636363636376E-2</v>
      </c>
      <c r="D55" s="497">
        <v>0.55000000000000004</v>
      </c>
      <c r="E55" s="465">
        <v>2.5099999999999998</v>
      </c>
      <c r="F55" s="498">
        <f t="shared" si="7"/>
        <v>-2.3346303501945553E-2</v>
      </c>
      <c r="G55" s="138">
        <v>2.57</v>
      </c>
      <c r="H55" s="139">
        <f t="shared" si="7"/>
        <v>0</v>
      </c>
      <c r="I55" s="138">
        <v>2.57</v>
      </c>
      <c r="J55" s="139">
        <f t="shared" si="7"/>
        <v>0.70198675496688723</v>
      </c>
      <c r="K55" s="138">
        <v>1.51</v>
      </c>
      <c r="L55" s="115"/>
      <c r="M55" s="116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1:23" s="11" customFormat="1" ht="10.199999999999999">
      <c r="A56" s="113" t="s">
        <v>113</v>
      </c>
      <c r="B56" s="138">
        <v>2.88</v>
      </c>
      <c r="C56" s="139">
        <f t="shared" si="6"/>
        <v>-0.37662337662337664</v>
      </c>
      <c r="D56" s="497">
        <v>4.62</v>
      </c>
      <c r="E56" s="465">
        <v>22.63</v>
      </c>
      <c r="F56" s="498">
        <f t="shared" si="7"/>
        <v>-0.27699680511182112</v>
      </c>
      <c r="G56" s="138">
        <v>31.3</v>
      </c>
      <c r="H56" s="139">
        <f t="shared" si="7"/>
        <v>-3.2158317872603703E-2</v>
      </c>
      <c r="I56" s="138">
        <v>32.340000000000003</v>
      </c>
      <c r="J56" s="139">
        <f t="shared" si="7"/>
        <v>0.47603833865814704</v>
      </c>
      <c r="K56" s="138">
        <v>21.91</v>
      </c>
      <c r="L56" s="115"/>
      <c r="M56" s="116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pans="1:23" s="11" customFormat="1" ht="10.199999999999999">
      <c r="A57" s="113" t="s">
        <v>114</v>
      </c>
      <c r="B57" s="140">
        <v>3.68</v>
      </c>
      <c r="C57" s="139">
        <f t="shared" si="6"/>
        <v>-0.55609167671893833</v>
      </c>
      <c r="D57" s="342">
        <v>8.2899999999999991</v>
      </c>
      <c r="E57" s="466">
        <v>66.36</v>
      </c>
      <c r="F57" s="498">
        <f t="shared" si="7"/>
        <v>-8.9462129527991152E-2</v>
      </c>
      <c r="G57" s="140">
        <v>72.88</v>
      </c>
      <c r="H57" s="139">
        <f t="shared" si="7"/>
        <v>0.19671592775041047</v>
      </c>
      <c r="I57" s="140">
        <v>60.9</v>
      </c>
      <c r="J57" s="139">
        <f t="shared" si="7"/>
        <v>-0.28445541064504765</v>
      </c>
      <c r="K57" s="140">
        <v>85.11</v>
      </c>
      <c r="L57" s="115"/>
      <c r="M57" s="119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1:23" s="11" customFormat="1" ht="10.199999999999999">
      <c r="A58" s="113" t="s">
        <v>115</v>
      </c>
      <c r="B58" s="138">
        <v>2.4500000000000002</v>
      </c>
      <c r="C58" s="139">
        <f t="shared" si="6"/>
        <v>4.7008547008547064E-2</v>
      </c>
      <c r="D58" s="497">
        <v>2.34</v>
      </c>
      <c r="E58" s="465">
        <v>14.32</v>
      </c>
      <c r="F58" s="498">
        <f t="shared" si="7"/>
        <v>-0.49912556838055266</v>
      </c>
      <c r="G58" s="138">
        <v>28.59</v>
      </c>
      <c r="H58" s="139">
        <f t="shared" si="7"/>
        <v>0.18385093167701871</v>
      </c>
      <c r="I58" s="138">
        <v>24.15</v>
      </c>
      <c r="J58" s="139">
        <f t="shared" si="7"/>
        <v>14.38216560509554</v>
      </c>
      <c r="K58" s="138">
        <v>1.57</v>
      </c>
      <c r="L58" s="115"/>
      <c r="M58" s="116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pans="1:23" s="3" customFormat="1" ht="10.199999999999999">
      <c r="A59" s="113" t="s">
        <v>116</v>
      </c>
      <c r="B59" s="138">
        <v>10.55</v>
      </c>
      <c r="C59" s="139">
        <f t="shared" si="6"/>
        <v>-0.30224867724867721</v>
      </c>
      <c r="D59" s="497">
        <v>15.12</v>
      </c>
      <c r="E59" s="465">
        <v>74.650000000000006</v>
      </c>
      <c r="F59" s="498">
        <f t="shared" si="7"/>
        <v>-0.58793331861338038</v>
      </c>
      <c r="G59" s="138">
        <v>181.16</v>
      </c>
      <c r="H59" s="139">
        <f t="shared" si="7"/>
        <v>5.7189542483659928E-2</v>
      </c>
      <c r="I59" s="138">
        <v>171.36</v>
      </c>
      <c r="J59" s="139">
        <f t="shared" si="7"/>
        <v>0.10412371134020626</v>
      </c>
      <c r="K59" s="138">
        <v>155.19999999999999</v>
      </c>
      <c r="L59" s="115"/>
      <c r="M59" s="116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s="11" customFormat="1" ht="10.199999999999999">
      <c r="A60" s="113" t="s">
        <v>117</v>
      </c>
      <c r="B60" s="138">
        <v>2.68</v>
      </c>
      <c r="C60" s="139">
        <f t="shared" si="6"/>
        <v>0.91428571428571459</v>
      </c>
      <c r="D60" s="497">
        <v>1.4</v>
      </c>
      <c r="E60" s="465">
        <v>8.0299999999999994</v>
      </c>
      <c r="F60" s="498">
        <f t="shared" si="7"/>
        <v>0.53831417624521061</v>
      </c>
      <c r="G60" s="138">
        <v>5.22</v>
      </c>
      <c r="H60" s="139">
        <f t="shared" si="7"/>
        <v>0.5352941176470587</v>
      </c>
      <c r="I60" s="138">
        <v>3.4</v>
      </c>
      <c r="J60" s="139"/>
      <c r="K60" s="138">
        <v>0</v>
      </c>
      <c r="L60" s="115"/>
      <c r="M60" s="116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1:23" s="11" customFormat="1" ht="10.199999999999999">
      <c r="A61" s="113" t="s">
        <v>118</v>
      </c>
      <c r="B61" s="138">
        <v>8.91</v>
      </c>
      <c r="C61" s="139">
        <f t="shared" si="6"/>
        <v>0.48747913188647751</v>
      </c>
      <c r="D61" s="497">
        <v>5.99</v>
      </c>
      <c r="E61" s="465">
        <v>30.16</v>
      </c>
      <c r="F61" s="498">
        <f t="shared" si="7"/>
        <v>0.70011273957158981</v>
      </c>
      <c r="G61" s="138">
        <v>17.739999999999998</v>
      </c>
      <c r="H61" s="139">
        <f t="shared" si="7"/>
        <v>0.70741097208854642</v>
      </c>
      <c r="I61" s="138">
        <v>10.39</v>
      </c>
      <c r="J61" s="139">
        <f t="shared" si="7"/>
        <v>0.1608938547486034</v>
      </c>
      <c r="K61" s="138">
        <v>8.9499999999999993</v>
      </c>
      <c r="L61" s="115"/>
      <c r="M61" s="116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pans="1:23" s="11" customFormat="1" ht="10.199999999999999">
      <c r="A62" s="113" t="s">
        <v>119</v>
      </c>
      <c r="B62" s="138">
        <v>52.63</v>
      </c>
      <c r="C62" s="139">
        <f t="shared" si="6"/>
        <v>-0.13650533223954064</v>
      </c>
      <c r="D62" s="497">
        <v>60.95</v>
      </c>
      <c r="E62" s="465">
        <v>247.66</v>
      </c>
      <c r="F62" s="498">
        <f t="shared" si="7"/>
        <v>-0.12752765447755943</v>
      </c>
      <c r="G62" s="138">
        <v>283.86</v>
      </c>
      <c r="H62" s="139">
        <f t="shared" si="7"/>
        <v>0.19863187230808221</v>
      </c>
      <c r="I62" s="138">
        <v>236.82</v>
      </c>
      <c r="J62" s="139">
        <f t="shared" si="7"/>
        <v>-0.21293495961979458</v>
      </c>
      <c r="K62" s="138">
        <v>300.89</v>
      </c>
      <c r="L62" s="115"/>
      <c r="M62" s="116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pans="1:23" s="11" customFormat="1" ht="10.199999999999999">
      <c r="A63" s="113" t="s">
        <v>120</v>
      </c>
      <c r="B63" s="138">
        <v>89.3</v>
      </c>
      <c r="C63" s="139">
        <f t="shared" si="6"/>
        <v>0.6069821846319956</v>
      </c>
      <c r="D63" s="497">
        <v>55.57</v>
      </c>
      <c r="E63" s="465">
        <v>339.43</v>
      </c>
      <c r="F63" s="498">
        <f t="shared" si="7"/>
        <v>0.21281309179261809</v>
      </c>
      <c r="G63" s="138">
        <v>279.87</v>
      </c>
      <c r="H63" s="139">
        <f t="shared" si="7"/>
        <v>0.21087699563016482</v>
      </c>
      <c r="I63" s="138">
        <v>231.13</v>
      </c>
      <c r="J63" s="139">
        <f t="shared" si="7"/>
        <v>-6.8662610307450467E-2</v>
      </c>
      <c r="K63" s="138">
        <v>248.17</v>
      </c>
      <c r="L63" s="121"/>
      <c r="M63" s="116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1:23" s="11" customFormat="1" ht="10.199999999999999">
      <c r="A64" s="113" t="s">
        <v>121</v>
      </c>
      <c r="B64" s="141">
        <v>10.92</v>
      </c>
      <c r="C64" s="139">
        <f t="shared" si="6"/>
        <v>-0.14620797498045346</v>
      </c>
      <c r="D64" s="499">
        <v>12.79</v>
      </c>
      <c r="E64" s="467">
        <v>47.29</v>
      </c>
      <c r="F64" s="498">
        <f t="shared" si="7"/>
        <v>-0.49352040269893971</v>
      </c>
      <c r="G64" s="141">
        <v>93.37</v>
      </c>
      <c r="H64" s="139">
        <f t="shared" si="7"/>
        <v>-0.32237462805718842</v>
      </c>
      <c r="I64" s="141">
        <v>137.79</v>
      </c>
      <c r="J64" s="139">
        <f t="shared" si="7"/>
        <v>-8.3294524649058732E-2</v>
      </c>
      <c r="K64" s="141">
        <v>150.31</v>
      </c>
      <c r="L64" s="115"/>
      <c r="M64" s="124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spans="1:23" s="11" customFormat="1" ht="10.199999999999999">
      <c r="A65" s="113" t="s">
        <v>122</v>
      </c>
      <c r="B65" s="141">
        <v>22.08</v>
      </c>
      <c r="C65" s="139">
        <f t="shared" si="6"/>
        <v>0.10621242484969917</v>
      </c>
      <c r="D65" s="499">
        <v>19.96</v>
      </c>
      <c r="E65" s="467">
        <v>124.13</v>
      </c>
      <c r="F65" s="498">
        <f t="shared" si="7"/>
        <v>0.40625354027415894</v>
      </c>
      <c r="G65" s="141">
        <v>88.27</v>
      </c>
      <c r="H65" s="139">
        <f t="shared" si="7"/>
        <v>0.10475594493116391</v>
      </c>
      <c r="I65" s="141">
        <v>79.900000000000006</v>
      </c>
      <c r="J65" s="139">
        <f t="shared" si="7"/>
        <v>-0.1120248944209824</v>
      </c>
      <c r="K65" s="141">
        <v>89.98</v>
      </c>
      <c r="L65" s="115"/>
      <c r="M65" s="124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pans="1:23" s="11" customFormat="1" ht="10.199999999999999">
      <c r="A66" s="120" t="s">
        <v>102</v>
      </c>
      <c r="B66" s="142">
        <f>B44</f>
        <v>298.66000000000003</v>
      </c>
      <c r="C66" s="139">
        <f t="shared" si="6"/>
        <v>-3.7729161967973601E-2</v>
      </c>
      <c r="D66" s="142">
        <f>D44</f>
        <v>310.37</v>
      </c>
      <c r="E66" s="343">
        <f>E44</f>
        <v>1411.49</v>
      </c>
      <c r="F66" s="498">
        <f t="shared" si="7"/>
        <v>1.2910823100440449E-3</v>
      </c>
      <c r="G66" s="142">
        <f>G44</f>
        <v>1409.67</v>
      </c>
      <c r="H66" s="139">
        <f t="shared" si="7"/>
        <v>0.13413250734140547</v>
      </c>
      <c r="I66" s="142">
        <f>I44</f>
        <v>1242.95</v>
      </c>
      <c r="J66" s="139">
        <f t="shared" si="7"/>
        <v>0.10274677502351071</v>
      </c>
      <c r="K66" s="142">
        <f>K44</f>
        <v>1127.1400000000001</v>
      </c>
      <c r="L66" s="115"/>
      <c r="M66" s="126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1:23" s="11" customFormat="1" ht="10.199999999999999">
      <c r="A67" s="120" t="s">
        <v>103</v>
      </c>
      <c r="B67" s="142">
        <f>B45</f>
        <v>84.74</v>
      </c>
      <c r="C67" s="139">
        <f t="shared" si="6"/>
        <v>0.14839409134028991</v>
      </c>
      <c r="D67" s="142">
        <f>D45</f>
        <v>73.790000000000006</v>
      </c>
      <c r="E67" s="343">
        <f>E45</f>
        <v>379.26</v>
      </c>
      <c r="F67" s="498">
        <f t="shared" si="7"/>
        <v>7.8791671407441033E-2</v>
      </c>
      <c r="G67" s="142">
        <f>G45</f>
        <v>351.56</v>
      </c>
      <c r="H67" s="139">
        <f t="shared" si="7"/>
        <v>9.7390435759770133E-2</v>
      </c>
      <c r="I67" s="142">
        <f>I45</f>
        <v>320.36</v>
      </c>
      <c r="J67" s="139">
        <f t="shared" si="7"/>
        <v>8.7735977183213576E-2</v>
      </c>
      <c r="K67" s="142">
        <f>K45</f>
        <v>294.52</v>
      </c>
      <c r="L67" s="115"/>
      <c r="M67" s="126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pans="1:23" s="3" customFormat="1" ht="10.199999999999999">
      <c r="A68" s="120" t="s">
        <v>123</v>
      </c>
      <c r="B68" s="140">
        <f>B46+B47+B48+B49+B50+B51+B52+B53+B54+B55</f>
        <v>72.06</v>
      </c>
      <c r="C68" s="139">
        <f t="shared" si="6"/>
        <v>0.37387988560533847</v>
      </c>
      <c r="D68" s="140">
        <f>D46+D47+D48+D49+D50+D51+D52+D53+D54+D55</f>
        <v>52.449999999999996</v>
      </c>
      <c r="E68" s="342">
        <f>E46+E47+E48+E49+E50+E51+E52+E53+E54+E55</f>
        <v>389.48</v>
      </c>
      <c r="F68" s="498">
        <f t="shared" si="7"/>
        <v>-4.2152378141753988E-2</v>
      </c>
      <c r="G68" s="140">
        <f>G46+G47+G48+G49+G50+G51+G52+G53+G54+G55</f>
        <v>406.62</v>
      </c>
      <c r="H68" s="139">
        <f t="shared" si="7"/>
        <v>-2.8735220351128743E-2</v>
      </c>
      <c r="I68" s="140">
        <f>I46+I47+I48+I49+I50+I51+I52+I53+I54+I55</f>
        <v>418.65000000000003</v>
      </c>
      <c r="J68" s="139">
        <f t="shared" si="7"/>
        <v>0.23619559440146487</v>
      </c>
      <c r="K68" s="140">
        <f>K46+K47+K48+K49+K50+K51+K52+K53+K54+K55</f>
        <v>338.65999999999997</v>
      </c>
      <c r="L68" s="115"/>
      <c r="M68" s="119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1:23" s="3" customFormat="1" ht="10.199999999999999">
      <c r="A69" s="120" t="s">
        <v>124</v>
      </c>
      <c r="B69" s="140">
        <f>B56+B57+B58+B59+B60+B61</f>
        <v>31.150000000000002</v>
      </c>
      <c r="C69" s="139">
        <f t="shared" si="6"/>
        <v>-0.17505296610169485</v>
      </c>
      <c r="D69" s="140">
        <f>D56+D57+D58+D59+D60+D61</f>
        <v>37.76</v>
      </c>
      <c r="E69" s="342">
        <f>E56+E57+E58+E59+E60+E61</f>
        <v>216.15</v>
      </c>
      <c r="F69" s="498">
        <f t="shared" si="7"/>
        <v>-0.35839591558075334</v>
      </c>
      <c r="G69" s="140">
        <f>G56+G57+G58+G59+G60+G61</f>
        <v>336.89</v>
      </c>
      <c r="H69" s="139">
        <f t="shared" si="7"/>
        <v>0.11353870562570245</v>
      </c>
      <c r="I69" s="140">
        <f>I56+I57+I58+I59+I60+I61</f>
        <v>302.53999999999996</v>
      </c>
      <c r="J69" s="139">
        <f t="shared" si="7"/>
        <v>0.10926156779350293</v>
      </c>
      <c r="K69" s="140">
        <f>K56+K57+K58+K59+K60+K61</f>
        <v>272.73999999999995</v>
      </c>
      <c r="L69" s="115"/>
      <c r="M69" s="119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1:23" s="11" customFormat="1" ht="10.199999999999999">
      <c r="A70" s="120" t="s">
        <v>125</v>
      </c>
      <c r="B70" s="140">
        <f>B62+B63+B64+B65</f>
        <v>174.93</v>
      </c>
      <c r="C70" s="139">
        <f t="shared" si="6"/>
        <v>0.1719032625443826</v>
      </c>
      <c r="D70" s="140">
        <f>D62+D63+D64+D65</f>
        <v>149.27000000000001</v>
      </c>
      <c r="E70" s="342">
        <f>E62+E63+E64+E65</f>
        <v>758.51</v>
      </c>
      <c r="F70" s="498">
        <f t="shared" si="7"/>
        <v>1.7628828635442684E-2</v>
      </c>
      <c r="G70" s="140">
        <f>G62+G63+G64+G65</f>
        <v>745.37</v>
      </c>
      <c r="H70" s="139">
        <f t="shared" si="7"/>
        <v>8.7115687532816066E-2</v>
      </c>
      <c r="I70" s="140">
        <f>I62+I63+I64+I65</f>
        <v>685.64</v>
      </c>
      <c r="J70" s="139">
        <f t="shared" si="7"/>
        <v>-0.13138658389814395</v>
      </c>
      <c r="K70" s="140">
        <f>K62+K63+K64+K65</f>
        <v>789.34999999999991</v>
      </c>
      <c r="L70" s="115"/>
      <c r="M70" s="119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1:23" s="107" customFormat="1" ht="10.199999999999999" customHeight="1">
      <c r="A71" s="127" t="s">
        <v>129</v>
      </c>
      <c r="B71" s="143">
        <f>SUM(B66:B70)</f>
        <v>661.54</v>
      </c>
      <c r="C71" s="231">
        <f t="shared" si="6"/>
        <v>6.0772240395099653E-2</v>
      </c>
      <c r="D71" s="143">
        <f>SUM(D66:D70)</f>
        <v>623.64</v>
      </c>
      <c r="E71" s="468">
        <f>SUM(E66:E70)</f>
        <v>3154.8900000000003</v>
      </c>
      <c r="F71" s="513">
        <f t="shared" ref="F71" si="8">IF((+E71/G71)&lt;0,"n.m.",IF(E71&lt;0,(+E71/G71-1)*-1,(+E71/G71-1)))</f>
        <v>-2.9297469931786724E-2</v>
      </c>
      <c r="G71" s="143">
        <f>SUM(G66:G70)</f>
        <v>3250.1099999999997</v>
      </c>
      <c r="H71" s="231">
        <f t="shared" ref="H71:J71" si="9">IF((+G71/I71)&lt;0,"n.m.",IF(G71&lt;0,(+G71/I71-1)*-1,(+G71/I71-1)))</f>
        <v>9.4261549960607871E-2</v>
      </c>
      <c r="I71" s="143">
        <f>SUM(I66:I70)</f>
        <v>2970.14</v>
      </c>
      <c r="J71" s="231">
        <f t="shared" si="9"/>
        <v>5.2341793006685844E-2</v>
      </c>
      <c r="K71" s="143">
        <f>SUM(K66:K70)</f>
        <v>2822.41</v>
      </c>
      <c r="L71" s="105">
        <f>(K71-M71)/M71</f>
        <v>-3.5027317546822694E-2</v>
      </c>
      <c r="M71" s="143">
        <v>2924.8599999999997</v>
      </c>
    </row>
    <row r="72" spans="1:23" ht="10.199999999999999" customHeight="1">
      <c r="A72" s="113"/>
      <c r="B72" s="120"/>
      <c r="C72" s="115"/>
      <c r="D72" s="120"/>
      <c r="E72" s="120"/>
      <c r="F72" s="120"/>
      <c r="G72" s="120"/>
      <c r="H72" s="115"/>
      <c r="I72" s="120"/>
      <c r="J72" s="110"/>
      <c r="K72" s="120"/>
      <c r="L72" s="110"/>
      <c r="M72" s="120"/>
    </row>
    <row r="73" spans="1:23" ht="10.199999999999999" customHeight="1">
      <c r="A73" s="144" t="s">
        <v>4</v>
      </c>
      <c r="B73" s="145"/>
      <c r="C73" s="115"/>
      <c r="D73" s="145"/>
      <c r="E73" s="145"/>
      <c r="F73" s="145"/>
      <c r="G73" s="145"/>
      <c r="H73" s="115"/>
      <c r="I73" s="145"/>
      <c r="J73" s="110"/>
      <c r="K73" s="145"/>
      <c r="L73" s="110"/>
      <c r="M73" s="145"/>
    </row>
    <row r="74" spans="1:23" s="3" customFormat="1" ht="10.199999999999999">
      <c r="A74" s="113" t="s">
        <v>102</v>
      </c>
      <c r="B74" s="138">
        <v>1193.05</v>
      </c>
      <c r="C74" s="139">
        <f t="shared" ref="C74:C101" si="10">IF((+B74/D74)&lt;0,"n.m.",IF(B74&lt;0,(+B74/D74-1)*-1,(+B74/D74-1)))</f>
        <v>-2.697919470203014E-2</v>
      </c>
      <c r="D74" s="497">
        <v>1226.1300000000001</v>
      </c>
      <c r="E74" s="469">
        <v>1229.8</v>
      </c>
      <c r="F74" s="498">
        <f t="shared" ref="F74:J100" si="11">IF((+E74/G74)&lt;0,"n.m.",IF(E74&lt;0,(+E74/G74-1)*-1,(+E74/G74-1)))</f>
        <v>5.8466093452796075E-2</v>
      </c>
      <c r="G74" s="138">
        <v>1161.8699999999999</v>
      </c>
      <c r="H74" s="139">
        <f t="shared" si="11"/>
        <v>5.7129599301233736E-2</v>
      </c>
      <c r="I74" s="138">
        <v>1099.08</v>
      </c>
      <c r="J74" s="139">
        <f t="shared" si="11"/>
        <v>8.8801711840228004E-2</v>
      </c>
      <c r="K74" s="138">
        <v>1009.44</v>
      </c>
      <c r="L74" s="115"/>
      <c r="M74" s="116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1:23" s="3" customFormat="1" ht="10.199999999999999">
      <c r="A75" s="113" t="s">
        <v>103</v>
      </c>
      <c r="B75" s="138">
        <v>583.72</v>
      </c>
      <c r="C75" s="139">
        <f t="shared" si="10"/>
        <v>0.22273193824755455</v>
      </c>
      <c r="D75" s="497">
        <v>477.39</v>
      </c>
      <c r="E75" s="469">
        <v>575.07000000000005</v>
      </c>
      <c r="F75" s="498">
        <f t="shared" si="11"/>
        <v>0.13830166270783861</v>
      </c>
      <c r="G75" s="138">
        <v>505.2</v>
      </c>
      <c r="H75" s="139">
        <f t="shared" si="11"/>
        <v>-2.7807177908207414E-2</v>
      </c>
      <c r="I75" s="138">
        <v>519.65</v>
      </c>
      <c r="J75" s="139">
        <f t="shared" si="11"/>
        <v>0.27433910441904952</v>
      </c>
      <c r="K75" s="138">
        <v>407.78</v>
      </c>
      <c r="L75" s="115"/>
      <c r="M75" s="116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1:23" s="3" customFormat="1" ht="10.199999999999999">
      <c r="A76" s="113" t="s">
        <v>104</v>
      </c>
      <c r="B76" s="138">
        <v>31.61</v>
      </c>
      <c r="C76" s="139">
        <f t="shared" si="10"/>
        <v>-0.31072830353249015</v>
      </c>
      <c r="D76" s="497">
        <v>45.86</v>
      </c>
      <c r="E76" s="469">
        <v>19.61</v>
      </c>
      <c r="F76" s="498">
        <f t="shared" si="11"/>
        <v>-0.54416550441655054</v>
      </c>
      <c r="G76" s="138">
        <v>43.02</v>
      </c>
      <c r="H76" s="139">
        <f t="shared" si="11"/>
        <v>-3.650615901455756E-2</v>
      </c>
      <c r="I76" s="138">
        <v>44.65</v>
      </c>
      <c r="J76" s="139">
        <f t="shared" si="11"/>
        <v>1.2049382716049384</v>
      </c>
      <c r="K76" s="138">
        <v>20.25</v>
      </c>
      <c r="L76" s="115"/>
      <c r="M76" s="116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1:23" s="3" customFormat="1" ht="10.199999999999999">
      <c r="A77" s="113" t="s">
        <v>105</v>
      </c>
      <c r="B77" s="138">
        <v>16.38</v>
      </c>
      <c r="C77" s="139">
        <f t="shared" si="10"/>
        <v>0.24373576309794975</v>
      </c>
      <c r="D77" s="497">
        <v>13.17</v>
      </c>
      <c r="E77" s="469">
        <v>14.61</v>
      </c>
      <c r="F77" s="498">
        <f t="shared" si="11"/>
        <v>0.4757575757575756</v>
      </c>
      <c r="G77" s="138">
        <v>9.9</v>
      </c>
      <c r="H77" s="139">
        <f t="shared" si="11"/>
        <v>-0.1428571428571429</v>
      </c>
      <c r="I77" s="138">
        <v>11.55</v>
      </c>
      <c r="J77" s="139">
        <f t="shared" si="11"/>
        <v>0.43835616438356184</v>
      </c>
      <c r="K77" s="138">
        <v>8.0299999999999994</v>
      </c>
      <c r="L77" s="115"/>
      <c r="M77" s="116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s="11" customFormat="1" ht="10.199999999999999">
      <c r="A78" s="113" t="s">
        <v>106</v>
      </c>
      <c r="B78" s="138">
        <v>40.36</v>
      </c>
      <c r="C78" s="139">
        <f t="shared" si="10"/>
        <v>0.57841220179898323</v>
      </c>
      <c r="D78" s="497">
        <v>25.57</v>
      </c>
      <c r="E78" s="469">
        <v>13.92</v>
      </c>
      <c r="F78" s="498">
        <f t="shared" si="11"/>
        <v>-0.21133144475920673</v>
      </c>
      <c r="G78" s="138">
        <v>17.649999999999999</v>
      </c>
      <c r="H78" s="139">
        <f t="shared" si="11"/>
        <v>-0.18097447795823673</v>
      </c>
      <c r="I78" s="138">
        <v>21.55</v>
      </c>
      <c r="J78" s="139">
        <f t="shared" si="11"/>
        <v>0.67965705378020269</v>
      </c>
      <c r="K78" s="138">
        <v>12.83</v>
      </c>
      <c r="L78" s="115"/>
      <c r="M78" s="116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1:23" s="11" customFormat="1" ht="10.199999999999999">
      <c r="A79" s="113" t="s">
        <v>154</v>
      </c>
      <c r="B79" s="138">
        <v>18.96</v>
      </c>
      <c r="C79" s="139">
        <f t="shared" si="10"/>
        <v>-0.69075191648996903</v>
      </c>
      <c r="D79" s="497">
        <v>61.31</v>
      </c>
      <c r="E79" s="469">
        <v>26.74</v>
      </c>
      <c r="F79" s="498">
        <f t="shared" si="11"/>
        <v>-0.59789473684210526</v>
      </c>
      <c r="G79" s="138">
        <v>66.5</v>
      </c>
      <c r="H79" s="139">
        <f t="shared" si="11"/>
        <v>-2.3494860499265746E-2</v>
      </c>
      <c r="I79" s="138">
        <v>68.099999999999994</v>
      </c>
      <c r="J79" s="139">
        <f t="shared" si="11"/>
        <v>77.275862068965509</v>
      </c>
      <c r="K79" s="138">
        <v>0.87</v>
      </c>
      <c r="L79" s="115"/>
      <c r="M79" s="116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1:23" s="11" customFormat="1" ht="10.199999999999999">
      <c r="A80" s="113" t="s">
        <v>107</v>
      </c>
      <c r="B80" s="138">
        <v>25.48</v>
      </c>
      <c r="C80" s="139">
        <f t="shared" si="10"/>
        <v>0.80709219858156045</v>
      </c>
      <c r="D80" s="497">
        <v>14.1</v>
      </c>
      <c r="E80" s="469">
        <v>16.82</v>
      </c>
      <c r="F80" s="498">
        <f t="shared" si="11"/>
        <v>0.35974130962004858</v>
      </c>
      <c r="G80" s="138">
        <v>12.37</v>
      </c>
      <c r="H80" s="139">
        <f t="shared" si="11"/>
        <v>-0.53496240601503764</v>
      </c>
      <c r="I80" s="138">
        <v>26.6</v>
      </c>
      <c r="J80" s="139">
        <f t="shared" si="11"/>
        <v>3.0672782874617743</v>
      </c>
      <c r="K80" s="138">
        <v>6.54</v>
      </c>
      <c r="L80" s="115"/>
      <c r="M80" s="116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1:23" s="11" customFormat="1" ht="10.199999999999999">
      <c r="A81" s="113" t="s">
        <v>108</v>
      </c>
      <c r="B81" s="138">
        <v>8.35</v>
      </c>
      <c r="C81" s="139">
        <f t="shared" si="10"/>
        <v>0.45724258289703301</v>
      </c>
      <c r="D81" s="497">
        <v>5.73</v>
      </c>
      <c r="E81" s="469">
        <v>9.16</v>
      </c>
      <c r="F81" s="498">
        <f t="shared" si="11"/>
        <v>1.0818181818181816</v>
      </c>
      <c r="G81" s="138">
        <v>4.4000000000000004</v>
      </c>
      <c r="H81" s="139">
        <f t="shared" si="11"/>
        <v>-0.30926216640502346</v>
      </c>
      <c r="I81" s="138">
        <v>6.37</v>
      </c>
      <c r="J81" s="139">
        <f t="shared" si="11"/>
        <v>-0.22317073170731694</v>
      </c>
      <c r="K81" s="138">
        <v>8.1999999999999993</v>
      </c>
      <c r="L81" s="115"/>
      <c r="M81" s="116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1:23" s="11" customFormat="1" ht="10.199999999999999">
      <c r="A82" s="113" t="s">
        <v>109</v>
      </c>
      <c r="B82" s="138">
        <v>1.89</v>
      </c>
      <c r="C82" s="139">
        <f t="shared" si="10"/>
        <v>-1.0471204188481686E-2</v>
      </c>
      <c r="D82" s="497">
        <v>1.91</v>
      </c>
      <c r="E82" s="469">
        <v>1.83</v>
      </c>
      <c r="F82" s="498">
        <f t="shared" si="11"/>
        <v>1.1049723756906049E-2</v>
      </c>
      <c r="G82" s="138">
        <v>1.81</v>
      </c>
      <c r="H82" s="139">
        <f t="shared" si="11"/>
        <v>-0.58581235697940504</v>
      </c>
      <c r="I82" s="138">
        <v>4.37</v>
      </c>
      <c r="J82" s="139">
        <f t="shared" si="11"/>
        <v>1.4277777777777776</v>
      </c>
      <c r="K82" s="138">
        <v>1.8</v>
      </c>
      <c r="L82" s="115"/>
      <c r="M82" s="116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1:23" s="11" customFormat="1" ht="10.199999999999999">
      <c r="A83" s="113" t="s">
        <v>110</v>
      </c>
      <c r="B83" s="138">
        <v>1.27</v>
      </c>
      <c r="C83" s="139">
        <f t="shared" si="10"/>
        <v>126</v>
      </c>
      <c r="D83" s="497">
        <v>0.01</v>
      </c>
      <c r="E83" s="469">
        <v>0.1</v>
      </c>
      <c r="F83" s="498"/>
      <c r="G83" s="138">
        <v>0</v>
      </c>
      <c r="H83" s="139">
        <f t="shared" si="11"/>
        <v>-1</v>
      </c>
      <c r="I83" s="138">
        <v>0.02</v>
      </c>
      <c r="J83" s="139">
        <f t="shared" si="11"/>
        <v>-0.60000000000000009</v>
      </c>
      <c r="K83" s="138">
        <v>0.05</v>
      </c>
      <c r="L83" s="115"/>
      <c r="M83" s="116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1:23" s="11" customFormat="1" ht="10.199999999999999">
      <c r="A84" s="113" t="s">
        <v>111</v>
      </c>
      <c r="B84" s="138">
        <v>0.01</v>
      </c>
      <c r="C84" s="139">
        <f t="shared" si="10"/>
        <v>-0.99494949494949492</v>
      </c>
      <c r="D84" s="497">
        <v>1.98</v>
      </c>
      <c r="E84" s="469">
        <v>1.9</v>
      </c>
      <c r="F84" s="498">
        <f t="shared" si="11"/>
        <v>9.8265895953757232E-2</v>
      </c>
      <c r="G84" s="138">
        <v>1.73</v>
      </c>
      <c r="H84" s="139"/>
      <c r="I84" s="138">
        <v>0</v>
      </c>
      <c r="J84" s="139"/>
      <c r="K84" s="138">
        <v>0</v>
      </c>
      <c r="L84" s="115"/>
      <c r="M84" s="116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pans="1:23" s="11" customFormat="1" ht="10.199999999999999">
      <c r="A85" s="113" t="s">
        <v>112</v>
      </c>
      <c r="B85" s="138">
        <v>0</v>
      </c>
      <c r="C85" s="139"/>
      <c r="D85" s="497">
        <v>0</v>
      </c>
      <c r="E85" s="469">
        <v>0</v>
      </c>
      <c r="F85" s="498"/>
      <c r="G85" s="138">
        <v>0</v>
      </c>
      <c r="H85" s="139">
        <f t="shared" si="11"/>
        <v>-1</v>
      </c>
      <c r="I85" s="138">
        <v>0.03</v>
      </c>
      <c r="J85" s="139">
        <f t="shared" si="11"/>
        <v>-0.25</v>
      </c>
      <c r="K85" s="138">
        <v>0.04</v>
      </c>
      <c r="L85" s="115"/>
      <c r="M85" s="116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1:23" s="11" customFormat="1" ht="10.199999999999999">
      <c r="A86" s="113" t="s">
        <v>113</v>
      </c>
      <c r="B86" s="138">
        <v>6.11</v>
      </c>
      <c r="C86" s="139">
        <f t="shared" si="10"/>
        <v>-0.73154657293497372</v>
      </c>
      <c r="D86" s="497">
        <v>22.76</v>
      </c>
      <c r="E86" s="469">
        <v>8.48</v>
      </c>
      <c r="F86" s="498">
        <f t="shared" si="11"/>
        <v>-0.68263473053892221</v>
      </c>
      <c r="G86" s="138">
        <v>26.72</v>
      </c>
      <c r="H86" s="139">
        <f t="shared" si="11"/>
        <v>0.88567395906845436</v>
      </c>
      <c r="I86" s="138">
        <v>14.17</v>
      </c>
      <c r="J86" s="139">
        <f t="shared" si="11"/>
        <v>-0.70626036484245436</v>
      </c>
      <c r="K86" s="138">
        <v>48.24</v>
      </c>
      <c r="L86" s="115"/>
      <c r="M86" s="116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pans="1:23" s="11" customFormat="1" ht="10.199999999999999">
      <c r="A87" s="113" t="s">
        <v>114</v>
      </c>
      <c r="B87" s="140">
        <v>13.76</v>
      </c>
      <c r="C87" s="139">
        <f t="shared" si="10"/>
        <v>-0.22653175941540193</v>
      </c>
      <c r="D87" s="342">
        <v>17.79</v>
      </c>
      <c r="E87" s="470">
        <v>8.74</v>
      </c>
      <c r="F87" s="498">
        <f t="shared" si="11"/>
        <v>-0.46836982968369834</v>
      </c>
      <c r="G87" s="140">
        <v>16.440000000000001</v>
      </c>
      <c r="H87" s="139">
        <f t="shared" si="11"/>
        <v>-0.68969422423556059</v>
      </c>
      <c r="I87" s="140">
        <v>52.98</v>
      </c>
      <c r="J87" s="139">
        <f t="shared" si="11"/>
        <v>-7.5231279455402422E-2</v>
      </c>
      <c r="K87" s="140">
        <v>57.29</v>
      </c>
      <c r="L87" s="115"/>
      <c r="M87" s="119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pans="1:23" s="11" customFormat="1" ht="10.199999999999999">
      <c r="A88" s="113" t="s">
        <v>115</v>
      </c>
      <c r="B88" s="138">
        <v>15.01</v>
      </c>
      <c r="C88" s="139">
        <f t="shared" si="10"/>
        <v>-0.25471698113207553</v>
      </c>
      <c r="D88" s="497">
        <v>20.14</v>
      </c>
      <c r="E88" s="469">
        <v>17.059999999999999</v>
      </c>
      <c r="F88" s="498">
        <f t="shared" si="11"/>
        <v>-0.22242479489516875</v>
      </c>
      <c r="G88" s="138">
        <v>21.94</v>
      </c>
      <c r="H88" s="139">
        <f t="shared" si="11"/>
        <v>4.5685279187817267</v>
      </c>
      <c r="I88" s="138">
        <v>3.94</v>
      </c>
      <c r="J88" s="259" t="s">
        <v>13</v>
      </c>
      <c r="K88" s="138">
        <v>0.01</v>
      </c>
      <c r="L88" s="115"/>
      <c r="M88" s="116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1:23" s="3" customFormat="1" ht="10.199999999999999">
      <c r="A89" s="113" t="s">
        <v>116</v>
      </c>
      <c r="B89" s="138">
        <v>629.35</v>
      </c>
      <c r="C89" s="139">
        <f t="shared" si="10"/>
        <v>-0.37208165382926928</v>
      </c>
      <c r="D89" s="497">
        <v>1002.28</v>
      </c>
      <c r="E89" s="469">
        <v>961.81</v>
      </c>
      <c r="F89" s="498">
        <f t="shared" si="11"/>
        <v>-4.7005201882586167E-2</v>
      </c>
      <c r="G89" s="138">
        <v>1009.25</v>
      </c>
      <c r="H89" s="139">
        <f t="shared" si="11"/>
        <v>-0.18281337295450306</v>
      </c>
      <c r="I89" s="138">
        <v>1235.03</v>
      </c>
      <c r="J89" s="139">
        <f t="shared" si="11"/>
        <v>-1.3199632455754839E-2</v>
      </c>
      <c r="K89" s="138">
        <v>1251.55</v>
      </c>
      <c r="L89" s="115"/>
      <c r="M89" s="116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1:23" s="11" customFormat="1" ht="10.199999999999999">
      <c r="A90" s="113" t="s">
        <v>117</v>
      </c>
      <c r="B90" s="138">
        <v>8.6199999999999992</v>
      </c>
      <c r="C90" s="139">
        <f t="shared" si="10"/>
        <v>-0.50173410404624286</v>
      </c>
      <c r="D90" s="497">
        <v>17.3</v>
      </c>
      <c r="E90" s="469">
        <v>11.36</v>
      </c>
      <c r="F90" s="498">
        <f t="shared" si="11"/>
        <v>-0.39153722549544734</v>
      </c>
      <c r="G90" s="138">
        <v>18.670000000000002</v>
      </c>
      <c r="H90" s="139">
        <f t="shared" si="11"/>
        <v>-0.17680776014109334</v>
      </c>
      <c r="I90" s="138">
        <v>22.68</v>
      </c>
      <c r="J90" s="139">
        <f t="shared" si="11"/>
        <v>13.086956521739129</v>
      </c>
      <c r="K90" s="138">
        <v>1.61</v>
      </c>
      <c r="L90" s="115"/>
      <c r="M90" s="116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spans="1:23" s="11" customFormat="1" ht="10.199999999999999">
      <c r="A91" s="113" t="s">
        <v>118</v>
      </c>
      <c r="B91" s="138">
        <v>79.55</v>
      </c>
      <c r="C91" s="139">
        <f t="shared" si="10"/>
        <v>0.18802270011947431</v>
      </c>
      <c r="D91" s="497">
        <v>66.959999999999994</v>
      </c>
      <c r="E91" s="469">
        <v>82.78</v>
      </c>
      <c r="F91" s="498">
        <f t="shared" si="11"/>
        <v>0.19520646838001721</v>
      </c>
      <c r="G91" s="138">
        <v>69.260000000000005</v>
      </c>
      <c r="H91" s="139">
        <f t="shared" si="11"/>
        <v>-0.18613396004700344</v>
      </c>
      <c r="I91" s="138">
        <v>85.1</v>
      </c>
      <c r="J91" s="139">
        <f t="shared" si="11"/>
        <v>3.0485252140818266</v>
      </c>
      <c r="K91" s="138">
        <v>21.02</v>
      </c>
      <c r="L91" s="115"/>
      <c r="M91" s="116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spans="1:23" s="11" customFormat="1" ht="10.199999999999999">
      <c r="A92" s="113" t="s">
        <v>119</v>
      </c>
      <c r="B92" s="138">
        <v>362.15</v>
      </c>
      <c r="C92" s="139">
        <f t="shared" si="10"/>
        <v>-4.0306338774644956E-2</v>
      </c>
      <c r="D92" s="497">
        <v>377.36</v>
      </c>
      <c r="E92" s="469">
        <v>397.37</v>
      </c>
      <c r="F92" s="498">
        <f t="shared" si="11"/>
        <v>-0.19505327553376817</v>
      </c>
      <c r="G92" s="138">
        <v>493.66</v>
      </c>
      <c r="H92" s="139">
        <f t="shared" si="11"/>
        <v>-3.6309686487330572E-2</v>
      </c>
      <c r="I92" s="138">
        <v>512.26</v>
      </c>
      <c r="J92" s="139">
        <f t="shared" si="11"/>
        <v>-5.9417575557269342E-2</v>
      </c>
      <c r="K92" s="138">
        <v>544.62</v>
      </c>
      <c r="L92" s="115"/>
      <c r="M92" s="116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1:23" s="11" customFormat="1" ht="10.199999999999999">
      <c r="A93" s="113" t="s">
        <v>120</v>
      </c>
      <c r="B93" s="138">
        <v>1078.04</v>
      </c>
      <c r="C93" s="139">
        <f t="shared" si="10"/>
        <v>1.635343584227638</v>
      </c>
      <c r="D93" s="497">
        <v>409.07</v>
      </c>
      <c r="E93" s="469">
        <v>685.84</v>
      </c>
      <c r="F93" s="498">
        <f t="shared" si="11"/>
        <v>0.51245975389229503</v>
      </c>
      <c r="G93" s="138">
        <v>453.46</v>
      </c>
      <c r="H93" s="139">
        <f t="shared" si="11"/>
        <v>-0.19124649984840114</v>
      </c>
      <c r="I93" s="138">
        <v>560.69000000000005</v>
      </c>
      <c r="J93" s="139">
        <f t="shared" si="11"/>
        <v>-3.7326373984856387E-2</v>
      </c>
      <c r="K93" s="138">
        <v>582.42999999999995</v>
      </c>
      <c r="L93" s="121"/>
      <c r="M93" s="116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spans="1:23" s="11" customFormat="1" ht="10.199999999999999">
      <c r="A94" s="113" t="s">
        <v>121</v>
      </c>
      <c r="B94" s="141">
        <v>39.85</v>
      </c>
      <c r="C94" s="139">
        <f t="shared" si="10"/>
        <v>-0.16684089483587705</v>
      </c>
      <c r="D94" s="499">
        <v>47.83</v>
      </c>
      <c r="E94" s="471">
        <v>43.49</v>
      </c>
      <c r="F94" s="498">
        <f t="shared" si="11"/>
        <v>-0.26437753721244917</v>
      </c>
      <c r="G94" s="141">
        <v>59.12</v>
      </c>
      <c r="H94" s="139">
        <f t="shared" si="11"/>
        <v>-0.40070957932083129</v>
      </c>
      <c r="I94" s="141">
        <v>98.65</v>
      </c>
      <c r="J94" s="139">
        <f t="shared" si="11"/>
        <v>-0.11864558206021625</v>
      </c>
      <c r="K94" s="141">
        <v>111.93</v>
      </c>
      <c r="L94" s="115"/>
      <c r="M94" s="124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spans="1:23" s="11" customFormat="1" ht="10.199999999999999">
      <c r="A95" s="113" t="s">
        <v>122</v>
      </c>
      <c r="B95" s="141">
        <v>152.79</v>
      </c>
      <c r="C95" s="139">
        <f t="shared" si="10"/>
        <v>-0.35222792216051224</v>
      </c>
      <c r="D95" s="499">
        <v>235.87</v>
      </c>
      <c r="E95" s="471">
        <v>168.48</v>
      </c>
      <c r="F95" s="498">
        <f t="shared" si="11"/>
        <v>-0.3526473526473527</v>
      </c>
      <c r="G95" s="141">
        <v>260.26</v>
      </c>
      <c r="H95" s="139">
        <f t="shared" si="11"/>
        <v>0.41645803853270924</v>
      </c>
      <c r="I95" s="141">
        <v>183.74</v>
      </c>
      <c r="J95" s="139">
        <f t="shared" si="11"/>
        <v>0.70524361948955927</v>
      </c>
      <c r="K95" s="141">
        <v>107.75</v>
      </c>
      <c r="L95" s="115"/>
      <c r="M95" s="124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spans="1:23" s="11" customFormat="1" ht="10.199999999999999">
      <c r="A96" s="120" t="s">
        <v>102</v>
      </c>
      <c r="B96" s="142">
        <f>B74</f>
        <v>1193.05</v>
      </c>
      <c r="C96" s="139">
        <f t="shared" si="10"/>
        <v>-2.697919470203014E-2</v>
      </c>
      <c r="D96" s="142">
        <f>D74</f>
        <v>1226.1300000000001</v>
      </c>
      <c r="E96" s="343">
        <f>E74</f>
        <v>1229.8</v>
      </c>
      <c r="F96" s="498">
        <f t="shared" si="11"/>
        <v>5.8466093452796075E-2</v>
      </c>
      <c r="G96" s="142">
        <f>G74</f>
        <v>1161.8699999999999</v>
      </c>
      <c r="H96" s="139">
        <f t="shared" si="11"/>
        <v>5.7129599301233736E-2</v>
      </c>
      <c r="I96" s="142">
        <f>I74</f>
        <v>1099.08</v>
      </c>
      <c r="J96" s="139">
        <f t="shared" si="11"/>
        <v>8.8801711840228004E-2</v>
      </c>
      <c r="K96" s="142">
        <f>K74</f>
        <v>1009.44</v>
      </c>
      <c r="L96" s="115"/>
      <c r="M96" s="126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spans="1:23" s="11" customFormat="1" ht="10.199999999999999">
      <c r="A97" s="120" t="s">
        <v>103</v>
      </c>
      <c r="B97" s="142">
        <f>B75</f>
        <v>583.72</v>
      </c>
      <c r="C97" s="139">
        <f t="shared" si="10"/>
        <v>0.22273193824755455</v>
      </c>
      <c r="D97" s="142">
        <f>D75</f>
        <v>477.39</v>
      </c>
      <c r="E97" s="343">
        <f>E75</f>
        <v>575.07000000000005</v>
      </c>
      <c r="F97" s="498">
        <f t="shared" si="11"/>
        <v>0.13830166270783861</v>
      </c>
      <c r="G97" s="142">
        <f>G75</f>
        <v>505.2</v>
      </c>
      <c r="H97" s="139">
        <f t="shared" si="11"/>
        <v>-2.7807177908207414E-2</v>
      </c>
      <c r="I97" s="142">
        <f>I75</f>
        <v>519.65</v>
      </c>
      <c r="J97" s="139">
        <f t="shared" si="11"/>
        <v>0.27433910441904952</v>
      </c>
      <c r="K97" s="142">
        <f>K75</f>
        <v>407.78</v>
      </c>
      <c r="L97" s="115"/>
      <c r="M97" s="126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spans="1:23" s="3" customFormat="1" ht="10.199999999999999">
      <c r="A98" s="120" t="s">
        <v>123</v>
      </c>
      <c r="B98" s="140">
        <f>B76+B77+B78+B79+B80+B81+B82+B83+B84+B85</f>
        <v>144.30999999999997</v>
      </c>
      <c r="C98" s="139">
        <f t="shared" si="10"/>
        <v>-0.14931619900966753</v>
      </c>
      <c r="D98" s="140">
        <f>D76+D77+D78+D79+D80+D81+D82+D83+D84+D85</f>
        <v>169.63999999999996</v>
      </c>
      <c r="E98" s="342">
        <f>E76+E77+E78+E79+E80+E81+E82+E83+E84+E85</f>
        <v>104.68999999999998</v>
      </c>
      <c r="F98" s="498">
        <f t="shared" si="11"/>
        <v>-0.33479476426483679</v>
      </c>
      <c r="G98" s="140">
        <f>G76+G77+G78+G79+G80+G81+G82+G83+G84+G85</f>
        <v>157.38</v>
      </c>
      <c r="H98" s="139">
        <f t="shared" si="11"/>
        <v>-0.14112639161755081</v>
      </c>
      <c r="I98" s="140">
        <f>I76+I77+I78+I79+I80+I81+I82+I83+I84+I85</f>
        <v>183.24</v>
      </c>
      <c r="J98" s="139">
        <f t="shared" si="11"/>
        <v>2.1264289370414611</v>
      </c>
      <c r="K98" s="140">
        <f>K76+K77+K78+K79+K80+K81+K82+K83+K84+K85</f>
        <v>58.609999999999992</v>
      </c>
      <c r="L98" s="115"/>
      <c r="M98" s="119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 s="3" customFormat="1" ht="10.199999999999999">
      <c r="A99" s="120" t="s">
        <v>124</v>
      </c>
      <c r="B99" s="140">
        <f>B86+B87+B88+B89+B90+B91</f>
        <v>752.4</v>
      </c>
      <c r="C99" s="139">
        <f t="shared" si="10"/>
        <v>-0.34415941005726836</v>
      </c>
      <c r="D99" s="140">
        <f>D86+D87+D88+D89+D90+D91</f>
        <v>1147.23</v>
      </c>
      <c r="E99" s="342">
        <f>E86+E87+E88+E89+E90+E91</f>
        <v>1090.23</v>
      </c>
      <c r="F99" s="498">
        <f t="shared" si="11"/>
        <v>-6.1990226107306312E-2</v>
      </c>
      <c r="G99" s="140">
        <f>G86+G87+G88+G89+G90+G91</f>
        <v>1162.28</v>
      </c>
      <c r="H99" s="139">
        <f t="shared" si="11"/>
        <v>-0.17796166631303478</v>
      </c>
      <c r="I99" s="253">
        <f>I86+I87+I88+I89+I90+I91</f>
        <v>1413.8999999999999</v>
      </c>
      <c r="J99" s="139">
        <f t="shared" si="11"/>
        <v>2.477314237671413E-2</v>
      </c>
      <c r="K99" s="253">
        <f>K86+K87+K88+K89+K90+K91</f>
        <v>1379.7199999999998</v>
      </c>
      <c r="L99" s="115"/>
      <c r="M99" s="119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 s="11" customFormat="1" ht="10.199999999999999">
      <c r="A100" s="120" t="s">
        <v>125</v>
      </c>
      <c r="B100" s="253">
        <f>B92+B93+B94+B95</f>
        <v>1632.83</v>
      </c>
      <c r="C100" s="139">
        <f t="shared" si="10"/>
        <v>0.52582396531262532</v>
      </c>
      <c r="D100" s="253">
        <f>D92+D93+D94+D95</f>
        <v>1070.1300000000001</v>
      </c>
      <c r="E100" s="253">
        <f>E92+E93+E94+E95</f>
        <v>1295.18</v>
      </c>
      <c r="F100" s="498">
        <f t="shared" si="11"/>
        <v>2.2645084879589383E-2</v>
      </c>
      <c r="G100" s="253">
        <f>G92+G93+G94+G95</f>
        <v>1266.5</v>
      </c>
      <c r="H100" s="553">
        <f t="shared" si="11"/>
        <v>-6.5548128144967466E-2</v>
      </c>
      <c r="I100" s="554">
        <f>I92+I93+I94+I95</f>
        <v>1355.3400000000001</v>
      </c>
      <c r="J100" s="553">
        <f t="shared" si="11"/>
        <v>6.3932636831436351E-3</v>
      </c>
      <c r="K100" s="554">
        <f>K92+K93+K94+K95</f>
        <v>1346.73</v>
      </c>
      <c r="L100" s="121"/>
      <c r="M100" s="555"/>
      <c r="N100" s="15"/>
      <c r="O100" s="15"/>
      <c r="P100" s="15"/>
      <c r="Q100" s="15"/>
      <c r="R100" s="15"/>
      <c r="S100" s="15"/>
      <c r="T100" s="15"/>
      <c r="U100" s="15"/>
      <c r="V100" s="15"/>
      <c r="W100" s="15"/>
    </row>
    <row r="101" spans="1:23" s="107" customFormat="1" ht="10.199999999999999" customHeight="1">
      <c r="A101" s="103" t="s">
        <v>130</v>
      </c>
      <c r="B101" s="494">
        <f>SUM(B96:B100)</f>
        <v>4306.3099999999995</v>
      </c>
      <c r="C101" s="254">
        <f t="shared" si="10"/>
        <v>5.2753684128179268E-2</v>
      </c>
      <c r="D101" s="494">
        <f>SUM(D96:D100)</f>
        <v>4090.52</v>
      </c>
      <c r="E101" s="494">
        <f>SUM(E96:E100)</f>
        <v>4294.97</v>
      </c>
      <c r="F101" s="254">
        <f t="shared" ref="F101" si="12">IF((+E101/G101)&lt;0,"n.m.",IF(E101&lt;0,(+E101/G101-1)*-1,(+E101/G101-1)))</f>
        <v>9.8137180448742978E-3</v>
      </c>
      <c r="G101" s="494">
        <f>SUM(G96:G100)</f>
        <v>4253.2299999999996</v>
      </c>
      <c r="H101" s="254">
        <f t="shared" ref="H101:J101" si="13">IF((+G101/I101)&lt;0,"n.m.",IF(G101&lt;0,(+G101/I101-1)*-1,(+G101/I101-1)))</f>
        <v>-6.9561450906871602E-2</v>
      </c>
      <c r="I101" s="494">
        <f>SUM(I96:I100)</f>
        <v>4571.21</v>
      </c>
      <c r="J101" s="254">
        <f t="shared" si="13"/>
        <v>8.7792817232549947E-2</v>
      </c>
      <c r="K101" s="494">
        <f>SUM(K96:K100)</f>
        <v>4202.28</v>
      </c>
      <c r="L101" s="105">
        <f>(K101-M101)/M101</f>
        <v>4.059846520715242E-2</v>
      </c>
      <c r="M101" s="494">
        <v>4038.33</v>
      </c>
    </row>
    <row r="102" spans="1:23" ht="12" customHeight="1">
      <c r="M102" s="146"/>
    </row>
    <row r="103" spans="1:23" ht="12" customHeight="1">
      <c r="M103" s="146"/>
    </row>
    <row r="104" spans="1:23" ht="12" customHeight="1">
      <c r="M104" s="146"/>
    </row>
    <row r="105" spans="1:23" ht="12" customHeight="1">
      <c r="M105" s="146"/>
    </row>
    <row r="106" spans="1:23" ht="12" customHeight="1">
      <c r="M106" s="146"/>
    </row>
    <row r="107" spans="1:23" ht="12" customHeight="1">
      <c r="M107" s="146"/>
    </row>
    <row r="108" spans="1:23" ht="12" customHeight="1">
      <c r="M108" s="146"/>
    </row>
    <row r="109" spans="1:23" ht="12" customHeight="1">
      <c r="M109" s="146"/>
    </row>
    <row r="110" spans="1:23" ht="12" customHeight="1">
      <c r="M110" s="146"/>
    </row>
    <row r="111" spans="1:23" ht="12" customHeight="1">
      <c r="M111" s="146"/>
    </row>
    <row r="112" spans="1:23" ht="12" customHeight="1">
      <c r="M112" s="146"/>
    </row>
    <row r="113" spans="13:13" ht="12" customHeight="1">
      <c r="M113" s="146"/>
    </row>
    <row r="114" spans="13:13" ht="12" customHeight="1">
      <c r="M114" s="146"/>
    </row>
    <row r="115" spans="13:13" ht="12" customHeight="1">
      <c r="M115" s="146"/>
    </row>
    <row r="116" spans="13:13" ht="12" customHeight="1">
      <c r="M116" s="146"/>
    </row>
    <row r="117" spans="13:13" ht="12" customHeight="1">
      <c r="M117" s="146"/>
    </row>
    <row r="118" spans="13:13" ht="12" customHeight="1">
      <c r="M118" s="146"/>
    </row>
    <row r="119" spans="13:13" ht="12" customHeight="1">
      <c r="M119" s="146"/>
    </row>
    <row r="120" spans="13:13" ht="12" customHeight="1">
      <c r="M120" s="146"/>
    </row>
    <row r="121" spans="13:13" ht="12" customHeight="1">
      <c r="M121" s="146"/>
    </row>
    <row r="122" spans="13:13" ht="12" customHeight="1">
      <c r="M122" s="146"/>
    </row>
    <row r="123" spans="13:13" ht="12" customHeight="1">
      <c r="M123" s="146"/>
    </row>
    <row r="124" spans="13:13" ht="12" customHeight="1">
      <c r="M124" s="146"/>
    </row>
    <row r="125" spans="13:13" ht="12" customHeight="1">
      <c r="M125" s="146"/>
    </row>
    <row r="126" spans="13:13" ht="12" customHeight="1">
      <c r="M126" s="146"/>
    </row>
    <row r="127" spans="13:13" ht="12" customHeight="1">
      <c r="M127" s="146"/>
    </row>
    <row r="128" spans="13:13" ht="12" customHeight="1">
      <c r="M128" s="146"/>
    </row>
    <row r="129" spans="13:13" ht="12" customHeight="1">
      <c r="M129" s="146"/>
    </row>
    <row r="130" spans="13:13" ht="12" customHeight="1">
      <c r="M130" s="146"/>
    </row>
    <row r="131" spans="13:13" ht="12" customHeight="1">
      <c r="M131" s="146"/>
    </row>
    <row r="132" spans="13:13" ht="12" customHeight="1">
      <c r="M132" s="146"/>
    </row>
    <row r="133" spans="13:13" ht="12" customHeight="1">
      <c r="M133" s="146"/>
    </row>
    <row r="134" spans="13:13" ht="12" customHeight="1">
      <c r="M134" s="146"/>
    </row>
    <row r="135" spans="13:13" ht="12" customHeight="1">
      <c r="M135" s="146"/>
    </row>
    <row r="136" spans="13:13" ht="12" customHeight="1">
      <c r="M136" s="146"/>
    </row>
    <row r="137" spans="13:13" ht="12" customHeight="1">
      <c r="M137" s="146"/>
    </row>
    <row r="138" spans="13:13" ht="12" customHeight="1">
      <c r="M138" s="146"/>
    </row>
    <row r="139" spans="13:13" ht="12" customHeight="1">
      <c r="M139" s="146"/>
    </row>
    <row r="140" spans="13:13" ht="12" customHeight="1">
      <c r="M140" s="146"/>
    </row>
    <row r="141" spans="13:13" ht="12" customHeight="1">
      <c r="M141" s="146"/>
    </row>
    <row r="142" spans="13:13" ht="12" customHeight="1">
      <c r="M142" s="146"/>
    </row>
    <row r="143" spans="13:13" ht="12" customHeight="1">
      <c r="M143" s="146"/>
    </row>
    <row r="144" spans="13:13" ht="12" customHeight="1">
      <c r="M144" s="146"/>
    </row>
    <row r="145" spans="13:13" ht="12" customHeight="1">
      <c r="M145" s="146"/>
    </row>
    <row r="146" spans="13:13" ht="12" customHeight="1">
      <c r="M146" s="146"/>
    </row>
    <row r="147" spans="13:13" ht="12" customHeight="1">
      <c r="M147" s="146"/>
    </row>
    <row r="148" spans="13:13" ht="12" customHeight="1">
      <c r="M148" s="146"/>
    </row>
    <row r="149" spans="13:13" ht="12" customHeight="1">
      <c r="M149" s="146"/>
    </row>
    <row r="150" spans="13:13" ht="12" customHeight="1">
      <c r="M150" s="146"/>
    </row>
    <row r="151" spans="13:13" ht="12" customHeight="1">
      <c r="M151" s="146"/>
    </row>
    <row r="152" spans="13:13" ht="12" customHeight="1">
      <c r="M152" s="146"/>
    </row>
    <row r="153" spans="13:13" ht="12" customHeight="1">
      <c r="M153" s="146"/>
    </row>
    <row r="154" spans="13:13" ht="12" customHeight="1">
      <c r="M154" s="146"/>
    </row>
    <row r="155" spans="13:13" ht="12" customHeight="1">
      <c r="M155" s="146"/>
    </row>
    <row r="156" spans="13:13" ht="12" customHeight="1">
      <c r="M156" s="146"/>
    </row>
    <row r="157" spans="13:13" ht="12" customHeight="1">
      <c r="M157" s="146"/>
    </row>
    <row r="158" spans="13:13" ht="12" customHeight="1">
      <c r="M158" s="146"/>
    </row>
    <row r="159" spans="13:13" ht="12" customHeight="1">
      <c r="M159" s="146"/>
    </row>
    <row r="160" spans="13:13" ht="12" customHeight="1">
      <c r="M160" s="146"/>
    </row>
    <row r="161" spans="13:13" ht="12" customHeight="1">
      <c r="M161" s="146"/>
    </row>
    <row r="162" spans="13:13" ht="12" customHeight="1">
      <c r="M162" s="146"/>
    </row>
    <row r="163" spans="13:13" ht="12" customHeight="1">
      <c r="M163" s="146"/>
    </row>
    <row r="164" spans="13:13" ht="12" customHeight="1">
      <c r="M164" s="146"/>
    </row>
    <row r="165" spans="13:13" ht="12" customHeight="1">
      <c r="M165" s="146"/>
    </row>
    <row r="166" spans="13:13" ht="12" customHeight="1">
      <c r="M166" s="146"/>
    </row>
    <row r="167" spans="13:13" ht="12" customHeight="1">
      <c r="M167" s="146"/>
    </row>
    <row r="168" spans="13:13" ht="12" customHeight="1">
      <c r="M168" s="146"/>
    </row>
    <row r="169" spans="13:13" ht="12" customHeight="1">
      <c r="M169" s="146"/>
    </row>
    <row r="170" spans="13:13" ht="12" customHeight="1">
      <c r="M170" s="146"/>
    </row>
    <row r="171" spans="13:13" ht="12" customHeight="1">
      <c r="M171" s="146"/>
    </row>
    <row r="172" spans="13:13" ht="12" customHeight="1">
      <c r="M172" s="146"/>
    </row>
    <row r="173" spans="13:13" ht="12" customHeight="1">
      <c r="M173" s="146"/>
    </row>
    <row r="174" spans="13:13" ht="12" customHeight="1">
      <c r="M174" s="146"/>
    </row>
    <row r="175" spans="13:13" ht="12" customHeight="1">
      <c r="M175" s="146"/>
    </row>
    <row r="176" spans="13:13" ht="12" customHeight="1">
      <c r="M176" s="146"/>
    </row>
    <row r="177" spans="13:13" ht="12" customHeight="1">
      <c r="M177" s="146"/>
    </row>
    <row r="178" spans="13:13" ht="12" customHeight="1">
      <c r="M178" s="146"/>
    </row>
    <row r="179" spans="13:13" ht="12" customHeight="1">
      <c r="M179" s="146"/>
    </row>
    <row r="180" spans="13:13" ht="12" customHeight="1">
      <c r="M180" s="146"/>
    </row>
    <row r="181" spans="13:13" ht="12" customHeight="1">
      <c r="M181" s="146"/>
    </row>
    <row r="182" spans="13:13" ht="12" customHeight="1">
      <c r="M182" s="146"/>
    </row>
    <row r="183" spans="13:13" ht="12" customHeight="1">
      <c r="M183" s="146"/>
    </row>
    <row r="184" spans="13:13" ht="12" customHeight="1">
      <c r="M184" s="146"/>
    </row>
    <row r="185" spans="13:13" ht="12" customHeight="1">
      <c r="M185" s="146"/>
    </row>
    <row r="186" spans="13:13" ht="12" customHeight="1">
      <c r="M186" s="146"/>
    </row>
    <row r="187" spans="13:13" ht="12" customHeight="1">
      <c r="M187" s="146"/>
    </row>
    <row r="188" spans="13:13" ht="12" customHeight="1">
      <c r="M188" s="146"/>
    </row>
    <row r="189" spans="13:13" ht="12" customHeight="1">
      <c r="M189" s="146"/>
    </row>
    <row r="190" spans="13:13" ht="12" customHeight="1">
      <c r="M190" s="146"/>
    </row>
    <row r="191" spans="13:13" ht="12" customHeight="1">
      <c r="M191" s="146"/>
    </row>
    <row r="192" spans="13:13" ht="12" customHeight="1">
      <c r="M192" s="146"/>
    </row>
    <row r="193" spans="13:13" ht="12" customHeight="1">
      <c r="M193" s="146"/>
    </row>
    <row r="194" spans="13:13" ht="12" customHeight="1">
      <c r="M194" s="146"/>
    </row>
    <row r="195" spans="13:13" ht="12" customHeight="1">
      <c r="M195" s="146"/>
    </row>
    <row r="196" spans="13:13" ht="12" customHeight="1">
      <c r="M196" s="146"/>
    </row>
    <row r="197" spans="13:13" ht="12" customHeight="1">
      <c r="M197" s="146"/>
    </row>
    <row r="198" spans="13:13" ht="12" customHeight="1">
      <c r="M198" s="146"/>
    </row>
    <row r="199" spans="13:13" ht="12" customHeight="1">
      <c r="M199" s="146"/>
    </row>
    <row r="200" spans="13:13" ht="12" customHeight="1">
      <c r="M200" s="146"/>
    </row>
    <row r="201" spans="13:13" ht="12" customHeight="1">
      <c r="M201" s="146"/>
    </row>
    <row r="202" spans="13:13" ht="12" customHeight="1">
      <c r="M202" s="146"/>
    </row>
    <row r="203" spans="13:13" ht="12" customHeight="1">
      <c r="M203" s="146"/>
    </row>
    <row r="204" spans="13:13" ht="12" customHeight="1">
      <c r="M204" s="146"/>
    </row>
    <row r="205" spans="13:13" ht="12" customHeight="1">
      <c r="M205" s="146"/>
    </row>
    <row r="206" spans="13:13" ht="12" customHeight="1">
      <c r="M206" s="146"/>
    </row>
    <row r="207" spans="13:13" ht="12" customHeight="1">
      <c r="M207" s="146"/>
    </row>
    <row r="208" spans="13:13" ht="12" customHeight="1">
      <c r="M208" s="146"/>
    </row>
    <row r="209" spans="13:13" ht="12" customHeight="1">
      <c r="M209" s="146"/>
    </row>
    <row r="210" spans="13:13" ht="12" customHeight="1">
      <c r="M210" s="146"/>
    </row>
    <row r="211" spans="13:13" ht="12" customHeight="1">
      <c r="M211" s="146"/>
    </row>
    <row r="212" spans="13:13" ht="12" customHeight="1">
      <c r="M212" s="146"/>
    </row>
    <row r="213" spans="13:13" ht="12" customHeight="1">
      <c r="M213" s="146"/>
    </row>
    <row r="214" spans="13:13" ht="12" customHeight="1">
      <c r="M214" s="146"/>
    </row>
    <row r="215" spans="13:13" ht="12" customHeight="1">
      <c r="M215" s="146"/>
    </row>
    <row r="216" spans="13:13" ht="12" customHeight="1">
      <c r="M216" s="146"/>
    </row>
    <row r="217" spans="13:13" ht="12" customHeight="1">
      <c r="M217" s="146"/>
    </row>
    <row r="218" spans="13:13" ht="12" customHeight="1">
      <c r="M218" s="146"/>
    </row>
    <row r="219" spans="13:13" ht="12" customHeight="1">
      <c r="M219" s="146"/>
    </row>
    <row r="220" spans="13:13" ht="12" customHeight="1">
      <c r="M220" s="146"/>
    </row>
    <row r="221" spans="13:13" ht="12" customHeight="1">
      <c r="M221" s="146"/>
    </row>
    <row r="222" spans="13:13" ht="12" customHeight="1">
      <c r="M222" s="146"/>
    </row>
    <row r="223" spans="13:13" ht="12" customHeight="1">
      <c r="M223" s="146"/>
    </row>
    <row r="224" spans="13:13" ht="12" customHeight="1">
      <c r="M224" s="146"/>
    </row>
    <row r="225" spans="13:13" ht="12" customHeight="1">
      <c r="M225" s="146"/>
    </row>
    <row r="226" spans="13:13" ht="12" customHeight="1">
      <c r="M226" s="146"/>
    </row>
    <row r="227" spans="13:13" ht="12" customHeight="1">
      <c r="M227" s="146"/>
    </row>
    <row r="228" spans="13:13" ht="12" customHeight="1">
      <c r="M228" s="146"/>
    </row>
    <row r="229" spans="13:13" ht="12" customHeight="1">
      <c r="M229" s="146"/>
    </row>
    <row r="230" spans="13:13" ht="12" customHeight="1">
      <c r="M230" s="146"/>
    </row>
    <row r="231" spans="13:13" ht="12" customHeight="1">
      <c r="M231" s="146"/>
    </row>
    <row r="232" spans="13:13" ht="12" customHeight="1">
      <c r="M232" s="146"/>
    </row>
    <row r="233" spans="13:13" ht="12" customHeight="1">
      <c r="M233" s="146"/>
    </row>
    <row r="234" spans="13:13" ht="12" customHeight="1">
      <c r="M234" s="146"/>
    </row>
    <row r="235" spans="13:13" ht="12" customHeight="1">
      <c r="M235" s="146"/>
    </row>
    <row r="236" spans="13:13" ht="12" customHeight="1">
      <c r="M236" s="146"/>
    </row>
    <row r="237" spans="13:13" ht="12" customHeight="1">
      <c r="M237" s="146"/>
    </row>
    <row r="238" spans="13:13" ht="12" customHeight="1">
      <c r="M238" s="146"/>
    </row>
    <row r="239" spans="13:13" ht="12" customHeight="1">
      <c r="M239" s="146"/>
    </row>
    <row r="240" spans="13:13" ht="12" customHeight="1">
      <c r="M240" s="146"/>
    </row>
    <row r="241" spans="13:13" ht="12" customHeight="1">
      <c r="M241" s="146"/>
    </row>
    <row r="242" spans="13:13" ht="12" customHeight="1">
      <c r="M242" s="146"/>
    </row>
    <row r="243" spans="13:13" ht="12" customHeight="1">
      <c r="M243" s="146"/>
    </row>
    <row r="244" spans="13:13" ht="12" customHeight="1">
      <c r="M244" s="146"/>
    </row>
    <row r="245" spans="13:13" ht="12" customHeight="1">
      <c r="M245" s="146"/>
    </row>
    <row r="246" spans="13:13" ht="12" customHeight="1">
      <c r="M246" s="146"/>
    </row>
    <row r="247" spans="13:13" ht="12" customHeight="1">
      <c r="M247" s="146"/>
    </row>
    <row r="248" spans="13:13" ht="12" customHeight="1">
      <c r="M248" s="146"/>
    </row>
    <row r="249" spans="13:13" ht="12" customHeight="1">
      <c r="M249" s="146"/>
    </row>
    <row r="250" spans="13:13" ht="12" customHeight="1">
      <c r="M250" s="146"/>
    </row>
    <row r="251" spans="13:13" ht="12" customHeight="1">
      <c r="M251" s="146"/>
    </row>
    <row r="252" spans="13:13" ht="12" customHeight="1">
      <c r="M252" s="146"/>
    </row>
    <row r="253" spans="13:13" ht="12" customHeight="1">
      <c r="M253" s="146"/>
    </row>
    <row r="254" spans="13:13" ht="12" customHeight="1">
      <c r="M254" s="146"/>
    </row>
    <row r="255" spans="13:13" ht="12" customHeight="1">
      <c r="M255" s="146"/>
    </row>
    <row r="256" spans="13:13" ht="12" customHeight="1">
      <c r="M256" s="146"/>
    </row>
    <row r="257" spans="13:13" ht="12" customHeight="1">
      <c r="M257" s="146"/>
    </row>
    <row r="258" spans="13:13" ht="12" customHeight="1">
      <c r="M258" s="146"/>
    </row>
    <row r="259" spans="13:13" ht="12" customHeight="1">
      <c r="M259" s="146"/>
    </row>
    <row r="260" spans="13:13" ht="12" customHeight="1">
      <c r="M260" s="146"/>
    </row>
    <row r="261" spans="13:13" ht="12" customHeight="1">
      <c r="M261" s="146"/>
    </row>
    <row r="262" spans="13:13" ht="12" customHeight="1">
      <c r="M262" s="146"/>
    </row>
    <row r="263" spans="13:13" ht="12" customHeight="1">
      <c r="M263" s="146"/>
    </row>
    <row r="264" spans="13:13" ht="12" customHeight="1">
      <c r="M264" s="146"/>
    </row>
    <row r="265" spans="13:13" ht="12" customHeight="1">
      <c r="M265" s="146"/>
    </row>
    <row r="266" spans="13:13" ht="12" customHeight="1">
      <c r="M266" s="146"/>
    </row>
    <row r="267" spans="13:13" ht="12" customHeight="1">
      <c r="M267" s="146"/>
    </row>
    <row r="268" spans="13:13" ht="12" customHeight="1">
      <c r="M268" s="146"/>
    </row>
    <row r="269" spans="13:13" ht="12" customHeight="1">
      <c r="M269" s="146"/>
    </row>
    <row r="270" spans="13:13" ht="12" customHeight="1">
      <c r="M270" s="146"/>
    </row>
    <row r="271" spans="13:13" ht="12" customHeight="1">
      <c r="M271" s="146"/>
    </row>
    <row r="272" spans="13:13" ht="12" customHeight="1">
      <c r="M272" s="146"/>
    </row>
    <row r="273" spans="13:13" ht="12" customHeight="1">
      <c r="M273" s="146"/>
    </row>
    <row r="274" spans="13:13" ht="12" customHeight="1">
      <c r="M274" s="146"/>
    </row>
    <row r="275" spans="13:13" ht="12" customHeight="1">
      <c r="M275" s="146"/>
    </row>
    <row r="276" spans="13:13" ht="12" customHeight="1">
      <c r="M276" s="146"/>
    </row>
    <row r="277" spans="13:13" ht="12" customHeight="1">
      <c r="M277" s="146"/>
    </row>
    <row r="278" spans="13:13" ht="12" customHeight="1">
      <c r="M278" s="146"/>
    </row>
    <row r="279" spans="13:13" ht="12" customHeight="1">
      <c r="M279" s="146"/>
    </row>
    <row r="280" spans="13:13" ht="12" customHeight="1">
      <c r="M280" s="146"/>
    </row>
    <row r="281" spans="13:13" ht="12" customHeight="1">
      <c r="M281" s="146"/>
    </row>
    <row r="282" spans="13:13" ht="12" customHeight="1">
      <c r="M282" s="146"/>
    </row>
    <row r="283" spans="13:13" ht="12" customHeight="1">
      <c r="M283" s="146"/>
    </row>
    <row r="284" spans="13:13" ht="12" customHeight="1">
      <c r="M284" s="146"/>
    </row>
    <row r="285" spans="13:13" ht="12" customHeight="1">
      <c r="M285" s="146"/>
    </row>
    <row r="286" spans="13:13" ht="12" customHeight="1">
      <c r="M286" s="146"/>
    </row>
    <row r="287" spans="13:13" ht="12" customHeight="1">
      <c r="M287" s="146"/>
    </row>
    <row r="288" spans="13:13" ht="12" customHeight="1">
      <c r="M288" s="146"/>
    </row>
    <row r="289" spans="13:13" ht="12" customHeight="1">
      <c r="M289" s="146"/>
    </row>
    <row r="290" spans="13:13" ht="12" customHeight="1">
      <c r="M290" s="146"/>
    </row>
    <row r="291" spans="13:13" ht="12" customHeight="1">
      <c r="M291" s="146"/>
    </row>
    <row r="292" spans="13:13" ht="12" customHeight="1">
      <c r="M292" s="146"/>
    </row>
    <row r="293" spans="13:13" ht="12" customHeight="1">
      <c r="M293" s="146"/>
    </row>
    <row r="294" spans="13:13" ht="12" customHeight="1">
      <c r="M294" s="146"/>
    </row>
    <row r="295" spans="13:13" ht="12" customHeight="1">
      <c r="M295" s="146"/>
    </row>
    <row r="296" spans="13:13" ht="12" customHeight="1">
      <c r="M296" s="146"/>
    </row>
    <row r="297" spans="13:13" ht="12" customHeight="1">
      <c r="M297" s="146"/>
    </row>
    <row r="298" spans="13:13" ht="12" customHeight="1">
      <c r="M298" s="146"/>
    </row>
    <row r="299" spans="13:13" ht="12" customHeight="1">
      <c r="M299" s="146"/>
    </row>
    <row r="300" spans="13:13" ht="12" customHeight="1">
      <c r="M300" s="146"/>
    </row>
    <row r="301" spans="13:13" ht="12" customHeight="1">
      <c r="M301" s="146"/>
    </row>
    <row r="302" spans="13:13" ht="12" customHeight="1">
      <c r="M302" s="146"/>
    </row>
    <row r="303" spans="13:13" ht="12" customHeight="1">
      <c r="M303" s="146"/>
    </row>
    <row r="304" spans="13:13" ht="12" customHeight="1">
      <c r="M304" s="146"/>
    </row>
    <row r="305" spans="13:13" ht="12" customHeight="1">
      <c r="M305" s="146"/>
    </row>
    <row r="306" spans="13:13" ht="12" customHeight="1">
      <c r="M306" s="146"/>
    </row>
    <row r="307" spans="13:13" ht="12" customHeight="1">
      <c r="M307" s="146"/>
    </row>
    <row r="308" spans="13:13" ht="12" customHeight="1">
      <c r="M308" s="146"/>
    </row>
    <row r="309" spans="13:13" ht="12" customHeight="1">
      <c r="M309" s="146"/>
    </row>
    <row r="310" spans="13:13" ht="12" customHeight="1">
      <c r="M310" s="146"/>
    </row>
    <row r="311" spans="13:13" ht="12" customHeight="1">
      <c r="M311" s="146"/>
    </row>
    <row r="312" spans="13:13" ht="12" customHeight="1">
      <c r="M312" s="146"/>
    </row>
    <row r="313" spans="13:13" ht="12" customHeight="1">
      <c r="M313" s="146"/>
    </row>
    <row r="314" spans="13:13" ht="12" customHeight="1">
      <c r="M314" s="146"/>
    </row>
    <row r="315" spans="13:13" ht="12" customHeight="1">
      <c r="M315" s="146"/>
    </row>
    <row r="316" spans="13:13" ht="12" customHeight="1">
      <c r="M316" s="146"/>
    </row>
    <row r="317" spans="13:13" ht="12" customHeight="1">
      <c r="M317" s="146"/>
    </row>
    <row r="318" spans="13:13" ht="12" customHeight="1">
      <c r="M318" s="146"/>
    </row>
    <row r="319" spans="13:13" ht="12" customHeight="1">
      <c r="M319" s="146"/>
    </row>
    <row r="320" spans="13:13" ht="12" customHeight="1">
      <c r="M320" s="146"/>
    </row>
    <row r="321" spans="13:13" ht="12" customHeight="1">
      <c r="M321" s="146"/>
    </row>
    <row r="322" spans="13:13" ht="12" customHeight="1">
      <c r="M322" s="146"/>
    </row>
    <row r="323" spans="13:13" ht="12" customHeight="1">
      <c r="M323" s="146"/>
    </row>
    <row r="324" spans="13:13" ht="12" customHeight="1">
      <c r="M324" s="146"/>
    </row>
    <row r="325" spans="13:13" ht="12" customHeight="1">
      <c r="M325" s="146"/>
    </row>
    <row r="326" spans="13:13" ht="12" customHeight="1">
      <c r="M326" s="146"/>
    </row>
    <row r="327" spans="13:13" ht="12" customHeight="1">
      <c r="M327" s="146"/>
    </row>
    <row r="328" spans="13:13" ht="12" customHeight="1">
      <c r="M328" s="146"/>
    </row>
    <row r="329" spans="13:13" ht="12" customHeight="1">
      <c r="M329" s="146"/>
    </row>
    <row r="330" spans="13:13" ht="12" customHeight="1">
      <c r="M330" s="146"/>
    </row>
    <row r="331" spans="13:13" ht="12" customHeight="1">
      <c r="M331" s="146"/>
    </row>
    <row r="332" spans="13:13" ht="12" customHeight="1">
      <c r="M332" s="146"/>
    </row>
    <row r="333" spans="13:13" ht="12" customHeight="1">
      <c r="M333" s="146"/>
    </row>
    <row r="334" spans="13:13" ht="12" customHeight="1">
      <c r="M334" s="146"/>
    </row>
    <row r="335" spans="13:13" ht="12" customHeight="1">
      <c r="M335" s="146"/>
    </row>
    <row r="336" spans="13:13" ht="12" customHeight="1">
      <c r="M336" s="146"/>
    </row>
    <row r="337" spans="13:13" ht="12" customHeight="1">
      <c r="M337" s="146"/>
    </row>
    <row r="338" spans="13:13" ht="12" customHeight="1">
      <c r="M338" s="146"/>
    </row>
    <row r="339" spans="13:13" ht="12" customHeight="1">
      <c r="M339" s="146"/>
    </row>
    <row r="340" spans="13:13" ht="12" customHeight="1">
      <c r="M340" s="146"/>
    </row>
    <row r="341" spans="13:13" ht="12" customHeight="1">
      <c r="M341" s="146"/>
    </row>
    <row r="342" spans="13:13" ht="12" customHeight="1">
      <c r="M342" s="146"/>
    </row>
    <row r="343" spans="13:13" ht="12" customHeight="1">
      <c r="M343" s="146"/>
    </row>
    <row r="344" spans="13:13" ht="12" customHeight="1">
      <c r="M344" s="146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7" fitToHeight="0" orientation="landscape" r:id="rId1"/>
  <headerFooter alignWithMargins="0">
    <oddHeader>&amp;CInternational + Special Divisions</oddHeader>
  </headerFooter>
  <rowBreaks count="2" manualBreakCount="2">
    <brk id="42" max="16383" man="1"/>
    <brk id="72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2"/>
  <sheetViews>
    <sheetView view="pageBreakPreview" zoomScaleNormal="100" zoomScaleSheetLayoutView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baseColWidth="10" defaultColWidth="20.6640625" defaultRowHeight="12" customHeight="1" outlineLevelRow="1"/>
  <cols>
    <col min="1" max="1" width="20.6640625" style="101" customWidth="1"/>
    <col min="2" max="13" width="10.88671875" style="146" customWidth="1"/>
    <col min="14" max="16384" width="20.6640625" style="101"/>
  </cols>
  <sheetData>
    <row r="1" spans="1:28" s="100" customFormat="1" ht="24" customHeight="1">
      <c r="A1" s="147" t="s">
        <v>139</v>
      </c>
      <c r="B1" s="272" t="s">
        <v>151</v>
      </c>
      <c r="C1" s="272" t="s">
        <v>150</v>
      </c>
      <c r="D1" s="272" t="s">
        <v>145</v>
      </c>
      <c r="E1" s="272">
        <v>2016</v>
      </c>
      <c r="F1" s="272" t="s">
        <v>149</v>
      </c>
      <c r="G1" s="1">
        <v>2015</v>
      </c>
      <c r="H1" s="1" t="s">
        <v>146</v>
      </c>
      <c r="I1" s="1">
        <v>2014</v>
      </c>
      <c r="J1" s="1" t="s">
        <v>1</v>
      </c>
      <c r="K1" s="1">
        <v>2013</v>
      </c>
      <c r="L1" s="1" t="s">
        <v>2</v>
      </c>
      <c r="M1" s="1">
        <v>2012</v>
      </c>
    </row>
    <row r="2" spans="1:28" ht="9.75" hidden="1" customHeight="1" outlineLevel="1">
      <c r="A2" s="185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28" s="107" customFormat="1" ht="10.199999999999999" customHeight="1" collapsed="1">
      <c r="A3" s="187" t="s">
        <v>3</v>
      </c>
      <c r="B3" s="188">
        <f>B71</f>
        <v>36.059999999999995</v>
      </c>
      <c r="C3" s="234">
        <f t="shared" ref="C3:C7" si="0">IF((+B3/D3)&lt;0,"n.m.",IF(B3&lt;0,(+B3/D3-1)*-1,(+B3/D3-1)))</f>
        <v>0.17612524461839518</v>
      </c>
      <c r="D3" s="188">
        <f>D71</f>
        <v>30.66</v>
      </c>
      <c r="E3" s="472">
        <f>E71</f>
        <v>160.25</v>
      </c>
      <c r="F3" s="516">
        <f t="shared" ref="F3:J9" si="1">IF((+E3/G3)&lt;0,"n.m.",IF(E3&lt;0,(+E3/G3-1)*-1,(+E3/G3-1)))</f>
        <v>0.17727005583308841</v>
      </c>
      <c r="G3" s="188">
        <f>G71</f>
        <v>136.12</v>
      </c>
      <c r="H3" s="234">
        <f t="shared" si="1"/>
        <v>2.6468592112208755E-2</v>
      </c>
      <c r="I3" s="188">
        <f>I71</f>
        <v>132.61000000000001</v>
      </c>
      <c r="J3" s="234">
        <f t="shared" si="1"/>
        <v>-2.6286805198619478E-2</v>
      </c>
      <c r="K3" s="188">
        <f>K71</f>
        <v>136.19</v>
      </c>
      <c r="L3" s="190">
        <v>9.1003765120563962E-2</v>
      </c>
      <c r="M3" s="188">
        <v>124.83</v>
      </c>
      <c r="N3" s="191"/>
    </row>
    <row r="4" spans="1:28" s="107" customFormat="1" ht="10.199999999999999" customHeight="1">
      <c r="A4" s="187" t="s">
        <v>4</v>
      </c>
      <c r="B4" s="188">
        <f>B101</f>
        <v>7.12</v>
      </c>
      <c r="C4" s="234">
        <f t="shared" si="0"/>
        <v>0.62557077625570789</v>
      </c>
      <c r="D4" s="188">
        <f>D101</f>
        <v>4.38</v>
      </c>
      <c r="E4" s="472">
        <f>E101</f>
        <v>7.8000000000000007</v>
      </c>
      <c r="F4" s="516">
        <f t="shared" si="1"/>
        <v>0.20930232558139528</v>
      </c>
      <c r="G4" s="188">
        <f>G101</f>
        <v>6.4500000000000011</v>
      </c>
      <c r="H4" s="234">
        <f t="shared" si="1"/>
        <v>-0.14456233421750653</v>
      </c>
      <c r="I4" s="188">
        <f>I101</f>
        <v>7.54</v>
      </c>
      <c r="J4" s="234">
        <f t="shared" si="1"/>
        <v>-0.29268292682926833</v>
      </c>
      <c r="K4" s="188">
        <f>K101</f>
        <v>10.66</v>
      </c>
      <c r="L4" s="190">
        <v>-8.8109495295124129E-2</v>
      </c>
      <c r="M4" s="188">
        <v>11.86</v>
      </c>
      <c r="N4" s="243"/>
    </row>
    <row r="5" spans="1:28" s="107" customFormat="1" ht="10.199999999999999" customHeight="1">
      <c r="A5" s="187" t="s">
        <v>5</v>
      </c>
      <c r="B5" s="506">
        <v>5.21</v>
      </c>
      <c r="C5" s="234">
        <f t="shared" si="0"/>
        <v>-0.10172413793103441</v>
      </c>
      <c r="D5" s="506">
        <v>5.8</v>
      </c>
      <c r="E5" s="474">
        <v>28.48</v>
      </c>
      <c r="F5" s="516">
        <f t="shared" si="1"/>
        <v>0.1324055666003976</v>
      </c>
      <c r="G5" s="188">
        <v>25.15</v>
      </c>
      <c r="H5" s="234">
        <f t="shared" si="1"/>
        <v>0.18895664917505783</v>
      </c>
      <c r="I5" s="188">
        <v>21.152999999999999</v>
      </c>
      <c r="J5" s="234">
        <f t="shared" si="1"/>
        <v>-0.20207468879668056</v>
      </c>
      <c r="K5" s="188">
        <v>26.51</v>
      </c>
      <c r="L5" s="190">
        <v>0.32679509632224168</v>
      </c>
      <c r="M5" s="188">
        <v>19.98</v>
      </c>
      <c r="N5" s="191"/>
    </row>
    <row r="6" spans="1:28" s="107" customFormat="1" ht="10.199999999999999" customHeight="1">
      <c r="A6" s="187" t="s">
        <v>140</v>
      </c>
      <c r="B6" s="506">
        <v>-0.79500000000000004</v>
      </c>
      <c r="C6" s="234">
        <f t="shared" si="0"/>
        <v>-0.89285714285714302</v>
      </c>
      <c r="D6" s="506">
        <v>-0.42</v>
      </c>
      <c r="E6" s="474">
        <v>0.47</v>
      </c>
      <c r="F6" s="516">
        <f t="shared" si="1"/>
        <v>1.1363636363636362</v>
      </c>
      <c r="G6" s="188">
        <v>0.22</v>
      </c>
      <c r="H6" s="234">
        <f t="shared" si="1"/>
        <v>-0.37142857142857133</v>
      </c>
      <c r="I6" s="188">
        <v>0.35</v>
      </c>
      <c r="J6" s="234">
        <f t="shared" si="1"/>
        <v>4.833333333333333</v>
      </c>
      <c r="K6" s="188">
        <v>0.06</v>
      </c>
      <c r="L6" s="190" t="s">
        <v>13</v>
      </c>
      <c r="M6" s="188">
        <v>-1.97</v>
      </c>
      <c r="N6" s="192"/>
    </row>
    <row r="7" spans="1:28" s="107" customFormat="1" ht="10.199999999999999" customHeight="1">
      <c r="A7" s="187" t="s">
        <v>142</v>
      </c>
      <c r="B7" s="506">
        <v>-19.506</v>
      </c>
      <c r="C7" s="323">
        <f t="shared" si="0"/>
        <v>-1.0951664876476905</v>
      </c>
      <c r="D7" s="506">
        <v>-9.31</v>
      </c>
      <c r="E7" s="474">
        <v>-3.31</v>
      </c>
      <c r="F7" s="516">
        <f t="shared" si="1"/>
        <v>0.86322314049586779</v>
      </c>
      <c r="G7" s="188">
        <v>-24.2</v>
      </c>
      <c r="H7" s="234">
        <f t="shared" si="1"/>
        <v>6.3829787234042645E-2</v>
      </c>
      <c r="I7" s="188">
        <v>-25.85</v>
      </c>
      <c r="J7" s="234">
        <f t="shared" si="1"/>
        <v>0.17884371029224899</v>
      </c>
      <c r="K7" s="188">
        <v>-31.48</v>
      </c>
      <c r="L7" s="190">
        <v>-0.40266788106487539</v>
      </c>
      <c r="M7" s="188">
        <v>-52.701000000000001</v>
      </c>
      <c r="N7" s="191"/>
    </row>
    <row r="8" spans="1:28" ht="10.199999999999999" customHeight="1">
      <c r="A8" s="193" t="s">
        <v>133</v>
      </c>
      <c r="B8" s="473">
        <f>B6/B5</f>
        <v>-0.15259117082533591</v>
      </c>
      <c r="C8" s="190"/>
      <c r="D8" s="194">
        <f>D6/D5</f>
        <v>-7.2413793103448282E-2</v>
      </c>
      <c r="E8" s="473">
        <f>E6/E5</f>
        <v>1.6502808988764044E-2</v>
      </c>
      <c r="F8" s="516"/>
      <c r="G8" s="194">
        <f>G6/G5</f>
        <v>8.7475149105367793E-3</v>
      </c>
      <c r="H8" s="233"/>
      <c r="I8" s="194">
        <f>I6/I5</f>
        <v>1.6546116390110149E-2</v>
      </c>
      <c r="J8" s="233"/>
      <c r="K8" s="194">
        <f>K6/K5</f>
        <v>2.2632968691059974E-3</v>
      </c>
      <c r="L8" s="195"/>
      <c r="M8" s="194">
        <v>-9.8573930447835884E-2</v>
      </c>
      <c r="N8" s="196"/>
    </row>
    <row r="9" spans="1:28" s="200" customFormat="1" ht="10.199999999999999" customHeight="1" thickBot="1">
      <c r="A9" s="562" t="s">
        <v>144</v>
      </c>
      <c r="B9" s="261">
        <f>2.429-1.716</f>
        <v>0.71299999999999986</v>
      </c>
      <c r="C9" s="268">
        <f t="shared" ref="C9" si="2">IF((+B9/D9)&lt;0,"n.m.",IF(B9&lt;0,(+B9/D9-1)*-1,(+B9/D9-1)))</f>
        <v>-0.80083798882681567</v>
      </c>
      <c r="D9" s="261">
        <v>3.58</v>
      </c>
      <c r="E9" s="475">
        <v>17.68</v>
      </c>
      <c r="F9" s="517" t="str">
        <f t="shared" si="1"/>
        <v>n.m.</v>
      </c>
      <c r="G9" s="267">
        <v>-8.19</v>
      </c>
      <c r="H9" s="268">
        <f t="shared" si="1"/>
        <v>-4.0660736975857592E-2</v>
      </c>
      <c r="I9" s="198">
        <v>-7.87</v>
      </c>
      <c r="J9" s="268">
        <f t="shared" si="1"/>
        <v>0.5820943075615973</v>
      </c>
      <c r="K9" s="198">
        <v>-18.832000000000001</v>
      </c>
      <c r="L9" s="269">
        <f>(K9/M9)-1</f>
        <v>0.22764015645371583</v>
      </c>
      <c r="M9" s="198">
        <v>-15.34</v>
      </c>
      <c r="N9" s="199"/>
    </row>
    <row r="10" spans="1:28" ht="21" customHeight="1" thickBot="1">
      <c r="A10" s="563"/>
      <c r="B10" s="194"/>
      <c r="C10" s="190"/>
      <c r="D10" s="201"/>
      <c r="E10" s="201"/>
      <c r="F10" s="201"/>
      <c r="G10" s="194"/>
      <c r="H10" s="190"/>
      <c r="I10" s="194"/>
      <c r="J10" s="190"/>
      <c r="K10" s="194"/>
      <c r="L10" s="202" t="s">
        <v>141</v>
      </c>
      <c r="M10" s="525">
        <f>Group!B15-'North + West'!B6-'South + East'!B6-'International + Special Divisio'!B6-Other!B6-Other!B9</f>
        <v>3.0000000000990346E-3</v>
      </c>
      <c r="N10" s="196"/>
    </row>
    <row r="11" spans="1:28" ht="10.199999999999999" customHeight="1">
      <c r="A11" s="193"/>
      <c r="B11" s="203"/>
      <c r="C11" s="195"/>
      <c r="D11" s="203"/>
      <c r="E11" s="203"/>
      <c r="F11" s="203"/>
      <c r="G11" s="203"/>
      <c r="H11" s="195"/>
      <c r="I11" s="203"/>
      <c r="J11" s="195"/>
      <c r="K11" s="203"/>
      <c r="L11" s="195"/>
      <c r="M11" s="203"/>
      <c r="N11" s="196"/>
    </row>
    <row r="12" spans="1:28" s="107" customFormat="1" ht="10.199999999999999" customHeight="1">
      <c r="A12" s="187" t="s">
        <v>101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</row>
    <row r="13" spans="1:28" s="3" customFormat="1" ht="10.199999999999999">
      <c r="A13" s="205" t="s">
        <v>102</v>
      </c>
      <c r="B13" s="507">
        <v>2476</v>
      </c>
      <c r="C13" s="233">
        <f t="shared" ref="C13:C40" si="3">IF((+B13/D13)&lt;0,"n.m.",IF(B13&lt;0,(+B13/D13-1)*-1,(+B13/D13-1)))</f>
        <v>4.0336134453781591E-2</v>
      </c>
      <c r="D13" s="507">
        <v>2380</v>
      </c>
      <c r="E13" s="476">
        <v>2387</v>
      </c>
      <c r="F13" s="515">
        <f t="shared" ref="F13:J40" si="4">IF((+E13/G13)&lt;0,"n.m.",IF(E13&lt;0,(+E13/G13-1)*-1,(+E13/G13-1)))</f>
        <v>1.2728044123886395E-2</v>
      </c>
      <c r="G13" s="206">
        <v>2357</v>
      </c>
      <c r="H13" s="233">
        <f t="shared" si="4"/>
        <v>3.5588752196836548E-2</v>
      </c>
      <c r="I13" s="206">
        <v>2276</v>
      </c>
      <c r="J13" s="233">
        <f t="shared" si="4"/>
        <v>1.245551601423478E-2</v>
      </c>
      <c r="K13" s="206">
        <v>2248</v>
      </c>
      <c r="L13" s="197"/>
      <c r="M13" s="207"/>
      <c r="N13" s="14"/>
      <c r="O13" s="33"/>
      <c r="P13" s="117"/>
      <c r="Q13" s="76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s="3" customFormat="1" ht="10.199999999999999">
      <c r="A14" s="205" t="s">
        <v>103</v>
      </c>
      <c r="B14" s="507">
        <v>1174</v>
      </c>
      <c r="C14" s="233">
        <f t="shared" si="3"/>
        <v>5.1369863013699391E-3</v>
      </c>
      <c r="D14" s="507">
        <v>1168</v>
      </c>
      <c r="E14" s="476">
        <v>1153</v>
      </c>
      <c r="F14" s="515">
        <f t="shared" si="4"/>
        <v>7.8671328671329199E-3</v>
      </c>
      <c r="G14" s="206">
        <v>1144</v>
      </c>
      <c r="H14" s="233">
        <f t="shared" si="4"/>
        <v>2.4171888988361756E-2</v>
      </c>
      <c r="I14" s="206">
        <v>1117</v>
      </c>
      <c r="J14" s="233">
        <f t="shared" si="4"/>
        <v>2.1023765996343702E-2</v>
      </c>
      <c r="K14" s="206">
        <v>1094</v>
      </c>
      <c r="L14" s="197"/>
      <c r="M14" s="207"/>
      <c r="N14" s="14"/>
      <c r="O14" s="33"/>
      <c r="P14" s="117"/>
      <c r="Q14" s="76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s="3" customFormat="1" ht="10.199999999999999">
      <c r="A15" s="205" t="s">
        <v>104</v>
      </c>
      <c r="B15" s="507">
        <v>612</v>
      </c>
      <c r="C15" s="233">
        <f t="shared" si="3"/>
        <v>3.7288135593220417E-2</v>
      </c>
      <c r="D15" s="507">
        <v>590</v>
      </c>
      <c r="E15" s="476">
        <v>594</v>
      </c>
      <c r="F15" s="515">
        <f t="shared" si="4"/>
        <v>2.5906735751295429E-2</v>
      </c>
      <c r="G15" s="206">
        <v>579</v>
      </c>
      <c r="H15" s="233">
        <f t="shared" si="4"/>
        <v>7.8212290502793325E-2</v>
      </c>
      <c r="I15" s="206">
        <v>537</v>
      </c>
      <c r="J15" s="233">
        <f t="shared" si="4"/>
        <v>-5.4577464788732377E-2</v>
      </c>
      <c r="K15" s="206">
        <v>568</v>
      </c>
      <c r="L15" s="197"/>
      <c r="M15" s="207"/>
      <c r="N15" s="14"/>
      <c r="O15" s="33"/>
      <c r="P15" s="117"/>
      <c r="Q15" s="76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s="3" customFormat="1" ht="10.199999999999999">
      <c r="A16" s="205" t="s">
        <v>105</v>
      </c>
      <c r="B16" s="507">
        <v>366</v>
      </c>
      <c r="C16" s="233">
        <f t="shared" si="3"/>
        <v>2.5210084033613356E-2</v>
      </c>
      <c r="D16" s="507">
        <v>357</v>
      </c>
      <c r="E16" s="476">
        <v>365</v>
      </c>
      <c r="F16" s="515">
        <f t="shared" si="4"/>
        <v>2.528089887640439E-2</v>
      </c>
      <c r="G16" s="206">
        <v>356</v>
      </c>
      <c r="H16" s="233">
        <f t="shared" si="4"/>
        <v>8.4985835694051381E-3</v>
      </c>
      <c r="I16" s="206">
        <v>353</v>
      </c>
      <c r="J16" s="233">
        <f t="shared" si="4"/>
        <v>-1.3966480446927387E-2</v>
      </c>
      <c r="K16" s="206">
        <v>358</v>
      </c>
      <c r="L16" s="197"/>
      <c r="M16" s="207"/>
      <c r="N16" s="14"/>
      <c r="O16" s="33"/>
      <c r="P16" s="117"/>
      <c r="Q16" s="76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s="11" customFormat="1" ht="10.199999999999999">
      <c r="A17" s="205" t="s">
        <v>106</v>
      </c>
      <c r="B17" s="507">
        <v>274</v>
      </c>
      <c r="C17" s="233">
        <f t="shared" si="3"/>
        <v>1.1070110701107083E-2</v>
      </c>
      <c r="D17" s="507">
        <v>271</v>
      </c>
      <c r="E17" s="476">
        <v>273</v>
      </c>
      <c r="F17" s="515">
        <f t="shared" si="4"/>
        <v>-1.4440433212996373E-2</v>
      </c>
      <c r="G17" s="206">
        <v>277</v>
      </c>
      <c r="H17" s="233">
        <f t="shared" si="4"/>
        <v>-3.1468531468531458E-2</v>
      </c>
      <c r="I17" s="206">
        <v>286</v>
      </c>
      <c r="J17" s="233">
        <f t="shared" si="4"/>
        <v>7.9245283018867907E-2</v>
      </c>
      <c r="K17" s="206">
        <v>265</v>
      </c>
      <c r="L17" s="197"/>
      <c r="M17" s="207"/>
      <c r="N17" s="14"/>
      <c r="O17" s="33"/>
      <c r="P17" s="117"/>
      <c r="Q17" s="76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28" s="11" customFormat="1" ht="10.199999999999999">
      <c r="A18" s="205" t="s">
        <v>154</v>
      </c>
      <c r="B18" s="507">
        <v>114</v>
      </c>
      <c r="C18" s="233">
        <f t="shared" si="3"/>
        <v>-5.7851239669421517E-2</v>
      </c>
      <c r="D18" s="507">
        <v>121</v>
      </c>
      <c r="E18" s="476">
        <v>116</v>
      </c>
      <c r="F18" s="515">
        <f t="shared" si="4"/>
        <v>-0.14074074074074072</v>
      </c>
      <c r="G18" s="206">
        <v>135</v>
      </c>
      <c r="H18" s="233">
        <f t="shared" si="4"/>
        <v>-0.15094339622641506</v>
      </c>
      <c r="I18" s="206">
        <v>159</v>
      </c>
      <c r="J18" s="233">
        <f t="shared" si="4"/>
        <v>-0.1067415730337079</v>
      </c>
      <c r="K18" s="206">
        <v>178</v>
      </c>
      <c r="L18" s="197"/>
      <c r="M18" s="207"/>
      <c r="N18" s="14"/>
      <c r="O18" s="33"/>
      <c r="P18" s="117"/>
      <c r="Q18" s="76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s="11" customFormat="1" ht="10.199999999999999">
      <c r="A19" s="205" t="s">
        <v>107</v>
      </c>
      <c r="B19" s="507">
        <v>219</v>
      </c>
      <c r="C19" s="233">
        <f t="shared" si="3"/>
        <v>6.3106796116504826E-2</v>
      </c>
      <c r="D19" s="507">
        <v>206</v>
      </c>
      <c r="E19" s="476">
        <v>209</v>
      </c>
      <c r="F19" s="515">
        <f t="shared" si="4"/>
        <v>2.9556650246305383E-2</v>
      </c>
      <c r="G19" s="206">
        <v>203</v>
      </c>
      <c r="H19" s="233">
        <f t="shared" si="4"/>
        <v>-0.11353711790393017</v>
      </c>
      <c r="I19" s="206">
        <v>229</v>
      </c>
      <c r="J19" s="233">
        <f t="shared" si="4"/>
        <v>-2.5531914893617058E-2</v>
      </c>
      <c r="K19" s="206">
        <v>235</v>
      </c>
      <c r="L19" s="197"/>
      <c r="M19" s="207"/>
      <c r="N19" s="14"/>
      <c r="O19" s="33"/>
      <c r="P19" s="117"/>
      <c r="Q19" s="76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s="11" customFormat="1" ht="10.199999999999999">
      <c r="A20" s="205" t="s">
        <v>108</v>
      </c>
      <c r="B20" s="507">
        <v>171</v>
      </c>
      <c r="C20" s="233">
        <f t="shared" si="3"/>
        <v>1.7857142857142794E-2</v>
      </c>
      <c r="D20" s="507">
        <v>168</v>
      </c>
      <c r="E20" s="476">
        <v>171</v>
      </c>
      <c r="F20" s="515">
        <f t="shared" si="4"/>
        <v>6.8750000000000089E-2</v>
      </c>
      <c r="G20" s="206">
        <v>160</v>
      </c>
      <c r="H20" s="233">
        <f t="shared" si="4"/>
        <v>-0.1061452513966481</v>
      </c>
      <c r="I20" s="206">
        <v>179</v>
      </c>
      <c r="J20" s="233">
        <f t="shared" si="4"/>
        <v>-0.19730941704035876</v>
      </c>
      <c r="K20" s="206">
        <v>223</v>
      </c>
      <c r="L20" s="197"/>
      <c r="M20" s="207"/>
      <c r="N20" s="14"/>
      <c r="O20" s="33"/>
      <c r="P20" s="117"/>
      <c r="Q20" s="76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s="11" customFormat="1" ht="10.199999999999999">
      <c r="A21" s="205" t="s">
        <v>109</v>
      </c>
      <c r="B21" s="507">
        <v>100</v>
      </c>
      <c r="C21" s="233">
        <f t="shared" si="3"/>
        <v>3.0927835051546282E-2</v>
      </c>
      <c r="D21" s="507">
        <v>97</v>
      </c>
      <c r="E21" s="476">
        <v>99</v>
      </c>
      <c r="F21" s="515">
        <f t="shared" si="4"/>
        <v>-1.980198019801982E-2</v>
      </c>
      <c r="G21" s="206">
        <v>101</v>
      </c>
      <c r="H21" s="233">
        <f t="shared" si="4"/>
        <v>7.4468085106383031E-2</v>
      </c>
      <c r="I21" s="206">
        <v>94</v>
      </c>
      <c r="J21" s="233">
        <f t="shared" si="4"/>
        <v>-6.9306930693069257E-2</v>
      </c>
      <c r="K21" s="206">
        <v>101</v>
      </c>
      <c r="L21" s="197"/>
      <c r="M21" s="207"/>
      <c r="N21" s="14"/>
      <c r="O21" s="33"/>
      <c r="P21" s="117"/>
      <c r="Q21" s="76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s="11" customFormat="1" ht="10.199999999999999">
      <c r="A22" s="205" t="s">
        <v>110</v>
      </c>
      <c r="B22" s="507">
        <v>15</v>
      </c>
      <c r="C22" s="233">
        <f t="shared" si="3"/>
        <v>0</v>
      </c>
      <c r="D22" s="507">
        <v>15</v>
      </c>
      <c r="E22" s="476">
        <v>14</v>
      </c>
      <c r="F22" s="515">
        <f t="shared" si="4"/>
        <v>0</v>
      </c>
      <c r="G22" s="206">
        <v>14</v>
      </c>
      <c r="H22" s="233">
        <f t="shared" si="4"/>
        <v>0</v>
      </c>
      <c r="I22" s="206">
        <v>14</v>
      </c>
      <c r="J22" s="233">
        <f t="shared" si="4"/>
        <v>0.16666666666666674</v>
      </c>
      <c r="K22" s="206">
        <v>12</v>
      </c>
      <c r="L22" s="197"/>
      <c r="M22" s="207"/>
      <c r="N22" s="14"/>
      <c r="O22" s="33"/>
      <c r="P22" s="117"/>
      <c r="Q22" s="76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s="11" customFormat="1" ht="10.199999999999999">
      <c r="A23" s="205" t="s">
        <v>111</v>
      </c>
      <c r="B23" s="507">
        <v>114</v>
      </c>
      <c r="C23" s="233">
        <f t="shared" si="3"/>
        <v>8.5714285714285632E-2</v>
      </c>
      <c r="D23" s="507">
        <v>105</v>
      </c>
      <c r="E23" s="476">
        <v>110</v>
      </c>
      <c r="F23" s="515">
        <f t="shared" si="4"/>
        <v>6.7961165048543659E-2</v>
      </c>
      <c r="G23" s="206">
        <v>103</v>
      </c>
      <c r="H23" s="233">
        <f t="shared" si="4"/>
        <v>9.8039215686274161E-3</v>
      </c>
      <c r="I23" s="206">
        <v>102</v>
      </c>
      <c r="J23" s="233">
        <f t="shared" si="4"/>
        <v>-3.7735849056603765E-2</v>
      </c>
      <c r="K23" s="206">
        <v>106</v>
      </c>
      <c r="L23" s="197"/>
      <c r="M23" s="207"/>
      <c r="N23" s="14"/>
      <c r="O23" s="33"/>
      <c r="P23" s="117"/>
      <c r="Q23" s="76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s="11" customFormat="1" ht="10.199999999999999">
      <c r="A24" s="205" t="s">
        <v>112</v>
      </c>
      <c r="B24" s="507">
        <v>59</v>
      </c>
      <c r="C24" s="233">
        <f t="shared" si="3"/>
        <v>3.5087719298245723E-2</v>
      </c>
      <c r="D24" s="507">
        <v>57</v>
      </c>
      <c r="E24" s="476">
        <v>59</v>
      </c>
      <c r="F24" s="515">
        <f t="shared" si="4"/>
        <v>5.3571428571428603E-2</v>
      </c>
      <c r="G24" s="206">
        <v>56</v>
      </c>
      <c r="H24" s="233">
        <f t="shared" si="4"/>
        <v>0</v>
      </c>
      <c r="I24" s="206">
        <v>56</v>
      </c>
      <c r="J24" s="233">
        <f t="shared" si="4"/>
        <v>-1.7543859649122862E-2</v>
      </c>
      <c r="K24" s="206">
        <v>57</v>
      </c>
      <c r="L24" s="197"/>
      <c r="M24" s="207"/>
      <c r="N24" s="14"/>
      <c r="O24" s="33"/>
      <c r="P24" s="117"/>
      <c r="Q24" s="76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 s="11" customFormat="1" ht="10.199999999999999">
      <c r="A25" s="205" t="s">
        <v>113</v>
      </c>
      <c r="B25" s="507">
        <v>129</v>
      </c>
      <c r="C25" s="233">
        <f t="shared" si="3"/>
        <v>-7.8571428571428625E-2</v>
      </c>
      <c r="D25" s="507">
        <v>140</v>
      </c>
      <c r="E25" s="476">
        <v>139</v>
      </c>
      <c r="F25" s="515">
        <f t="shared" si="4"/>
        <v>-8.5526315789473673E-2</v>
      </c>
      <c r="G25" s="206">
        <v>152</v>
      </c>
      <c r="H25" s="233">
        <f t="shared" si="4"/>
        <v>-5.5900621118012417E-2</v>
      </c>
      <c r="I25" s="206">
        <v>161</v>
      </c>
      <c r="J25" s="233">
        <f t="shared" si="4"/>
        <v>-6.9364161849710948E-2</v>
      </c>
      <c r="K25" s="206">
        <v>173</v>
      </c>
      <c r="L25" s="197"/>
      <c r="M25" s="207"/>
      <c r="N25" s="14"/>
      <c r="O25" s="33"/>
      <c r="P25" s="117"/>
      <c r="Q25" s="76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s="11" customFormat="1" ht="10.199999999999999">
      <c r="A26" s="205" t="s">
        <v>114</v>
      </c>
      <c r="B26" s="346">
        <v>55</v>
      </c>
      <c r="C26" s="233">
        <f t="shared" si="3"/>
        <v>-6.7796610169491567E-2</v>
      </c>
      <c r="D26" s="346">
        <v>59</v>
      </c>
      <c r="E26" s="477">
        <v>57</v>
      </c>
      <c r="F26" s="515">
        <f t="shared" si="4"/>
        <v>-3.3898305084745783E-2</v>
      </c>
      <c r="G26" s="208">
        <v>59</v>
      </c>
      <c r="H26" s="233">
        <f t="shared" si="4"/>
        <v>5.3571428571428603E-2</v>
      </c>
      <c r="I26" s="208">
        <v>56</v>
      </c>
      <c r="J26" s="233">
        <f t="shared" si="4"/>
        <v>0.39999999999999991</v>
      </c>
      <c r="K26" s="208">
        <v>40</v>
      </c>
      <c r="L26" s="197"/>
      <c r="M26" s="209"/>
      <c r="N26" s="14"/>
      <c r="O26" s="33"/>
      <c r="P26" s="117"/>
      <c r="Q26" s="76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 s="11" customFormat="1" ht="10.199999999999999">
      <c r="A27" s="205" t="s">
        <v>115</v>
      </c>
      <c r="B27" s="507">
        <v>27</v>
      </c>
      <c r="C27" s="515">
        <f t="shared" si="3"/>
        <v>-9.9999999999999978E-2</v>
      </c>
      <c r="D27" s="507">
        <v>30</v>
      </c>
      <c r="E27" s="476">
        <v>30</v>
      </c>
      <c r="F27" s="515">
        <f t="shared" si="4"/>
        <v>-0.11764705882352944</v>
      </c>
      <c r="G27" s="206">
        <v>34</v>
      </c>
      <c r="H27" s="233">
        <f t="shared" si="4"/>
        <v>-2.8571428571428581E-2</v>
      </c>
      <c r="I27" s="206">
        <v>35</v>
      </c>
      <c r="J27" s="233">
        <f t="shared" si="4"/>
        <v>-5.4054054054054057E-2</v>
      </c>
      <c r="K27" s="206">
        <v>37</v>
      </c>
      <c r="L27" s="197"/>
      <c r="M27" s="207"/>
      <c r="N27" s="14"/>
      <c r="O27" s="33"/>
      <c r="P27" s="117"/>
      <c r="Q27" s="76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s="3" customFormat="1" ht="10.199999999999999">
      <c r="A28" s="205" t="s">
        <v>116</v>
      </c>
      <c r="B28" s="507">
        <v>20</v>
      </c>
      <c r="C28" s="515">
        <f t="shared" si="3"/>
        <v>-0.16666666666666663</v>
      </c>
      <c r="D28" s="507">
        <v>24</v>
      </c>
      <c r="E28" s="476">
        <v>23</v>
      </c>
      <c r="F28" s="515">
        <f t="shared" si="4"/>
        <v>-7.999999999999996E-2</v>
      </c>
      <c r="G28" s="206">
        <v>25</v>
      </c>
      <c r="H28" s="233">
        <f t="shared" si="4"/>
        <v>-7.407407407407407E-2</v>
      </c>
      <c r="I28" s="206">
        <v>27</v>
      </c>
      <c r="J28" s="233">
        <f t="shared" si="4"/>
        <v>-3.5714285714285698E-2</v>
      </c>
      <c r="K28" s="206">
        <v>28</v>
      </c>
      <c r="L28" s="197"/>
      <c r="M28" s="207"/>
      <c r="N28" s="14"/>
      <c r="O28" s="33"/>
      <c r="P28" s="117"/>
      <c r="Q28" s="76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s="11" customFormat="1" ht="10.199999999999999">
      <c r="A29" s="205" t="s">
        <v>117</v>
      </c>
      <c r="B29" s="507">
        <v>0</v>
      </c>
      <c r="C29" s="515"/>
      <c r="D29" s="507">
        <v>0</v>
      </c>
      <c r="E29" s="476">
        <v>0</v>
      </c>
      <c r="F29" s="515"/>
      <c r="G29" s="206">
        <v>0</v>
      </c>
      <c r="H29" s="233"/>
      <c r="I29" s="206">
        <v>0</v>
      </c>
      <c r="J29" s="233"/>
      <c r="K29" s="206">
        <v>0</v>
      </c>
      <c r="L29" s="197"/>
      <c r="M29" s="207"/>
      <c r="N29" s="14"/>
      <c r="O29" s="33"/>
      <c r="P29" s="117"/>
      <c r="Q29" s="76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s="11" customFormat="1" ht="10.199999999999999">
      <c r="A30" s="205" t="s">
        <v>118</v>
      </c>
      <c r="B30" s="507">
        <v>24</v>
      </c>
      <c r="C30" s="515">
        <f t="shared" si="3"/>
        <v>0.33333333333333326</v>
      </c>
      <c r="D30" s="507">
        <v>18</v>
      </c>
      <c r="E30" s="476">
        <v>20</v>
      </c>
      <c r="F30" s="515">
        <f t="shared" si="4"/>
        <v>0.11111111111111116</v>
      </c>
      <c r="G30" s="206">
        <v>18</v>
      </c>
      <c r="H30" s="233">
        <f t="shared" si="4"/>
        <v>0</v>
      </c>
      <c r="I30" s="206">
        <v>18</v>
      </c>
      <c r="J30" s="233">
        <f t="shared" si="4"/>
        <v>0.38461538461538458</v>
      </c>
      <c r="K30" s="206">
        <v>13</v>
      </c>
      <c r="L30" s="197"/>
      <c r="M30" s="207"/>
      <c r="N30" s="14"/>
      <c r="O30" s="33"/>
      <c r="P30" s="117"/>
      <c r="Q30" s="76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s="11" customFormat="1" ht="10.199999999999999">
      <c r="A31" s="205" t="s">
        <v>119</v>
      </c>
      <c r="B31" s="507">
        <v>0</v>
      </c>
      <c r="C31" s="515"/>
      <c r="D31" s="507">
        <v>0</v>
      </c>
      <c r="E31" s="476">
        <v>0</v>
      </c>
      <c r="F31" s="515"/>
      <c r="G31" s="206">
        <v>0</v>
      </c>
      <c r="H31" s="233">
        <f t="shared" si="4"/>
        <v>-1</v>
      </c>
      <c r="I31" s="206">
        <v>5</v>
      </c>
      <c r="J31" s="233">
        <f t="shared" si="4"/>
        <v>0</v>
      </c>
      <c r="K31" s="206">
        <v>5</v>
      </c>
      <c r="L31" s="197"/>
      <c r="M31" s="207"/>
      <c r="N31" s="14"/>
      <c r="O31" s="33"/>
      <c r="P31" s="117"/>
      <c r="Q31" s="76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28" s="11" customFormat="1" ht="10.199999999999999">
      <c r="A32" s="205" t="s">
        <v>120</v>
      </c>
      <c r="B32" s="507">
        <v>1</v>
      </c>
      <c r="C32" s="515">
        <f t="shared" si="3"/>
        <v>0</v>
      </c>
      <c r="D32" s="507">
        <v>1</v>
      </c>
      <c r="E32" s="476">
        <v>2</v>
      </c>
      <c r="F32" s="515">
        <f t="shared" si="4"/>
        <v>1</v>
      </c>
      <c r="G32" s="206">
        <v>1</v>
      </c>
      <c r="H32" s="233">
        <f t="shared" si="4"/>
        <v>0</v>
      </c>
      <c r="I32" s="206">
        <v>1</v>
      </c>
      <c r="J32" s="233"/>
      <c r="K32" s="206">
        <v>0</v>
      </c>
      <c r="L32" s="211"/>
      <c r="M32" s="207"/>
      <c r="N32" s="37"/>
      <c r="O32" s="38"/>
      <c r="P32" s="122"/>
      <c r="Q32" s="76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spans="1:28" s="11" customFormat="1" ht="10.199999999999999">
      <c r="A33" s="205" t="s">
        <v>121</v>
      </c>
      <c r="B33" s="508">
        <v>0</v>
      </c>
      <c r="C33" s="515"/>
      <c r="D33" s="508">
        <v>0</v>
      </c>
      <c r="E33" s="478">
        <v>0</v>
      </c>
      <c r="F33" s="515"/>
      <c r="G33" s="212">
        <v>0</v>
      </c>
      <c r="H33" s="233"/>
      <c r="I33" s="212">
        <v>0</v>
      </c>
      <c r="J33" s="233"/>
      <c r="K33" s="212">
        <v>0</v>
      </c>
      <c r="L33" s="197"/>
      <c r="M33" s="213"/>
      <c r="N33" s="13"/>
      <c r="O33" s="33"/>
      <c r="P33" s="13"/>
      <c r="Q33" s="33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28" s="11" customFormat="1" ht="10.199999999999999">
      <c r="A34" s="205" t="s">
        <v>122</v>
      </c>
      <c r="B34" s="508">
        <v>0</v>
      </c>
      <c r="C34" s="515"/>
      <c r="D34" s="508">
        <v>0</v>
      </c>
      <c r="E34" s="478">
        <v>0</v>
      </c>
      <c r="F34" s="515"/>
      <c r="G34" s="212">
        <v>0</v>
      </c>
      <c r="H34" s="233"/>
      <c r="I34" s="212">
        <v>0</v>
      </c>
      <c r="J34" s="233"/>
      <c r="K34" s="212">
        <v>0</v>
      </c>
      <c r="L34" s="197"/>
      <c r="M34" s="213"/>
      <c r="N34" s="13"/>
      <c r="O34" s="33"/>
      <c r="P34" s="13"/>
      <c r="Q34" s="33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28" s="11" customFormat="1" ht="10.199999999999999">
      <c r="A35" s="210" t="s">
        <v>102</v>
      </c>
      <c r="B35" s="214">
        <f>B13</f>
        <v>2476</v>
      </c>
      <c r="C35" s="233">
        <f t="shared" si="3"/>
        <v>4.0336134453781591E-2</v>
      </c>
      <c r="D35" s="214">
        <f>D13</f>
        <v>2380</v>
      </c>
      <c r="E35" s="347">
        <f>E13</f>
        <v>2387</v>
      </c>
      <c r="F35" s="515">
        <f t="shared" si="4"/>
        <v>1.2728044123886395E-2</v>
      </c>
      <c r="G35" s="214">
        <f>G13</f>
        <v>2357</v>
      </c>
      <c r="H35" s="233">
        <f t="shared" si="4"/>
        <v>3.5588752196836548E-2</v>
      </c>
      <c r="I35" s="214">
        <f>I13</f>
        <v>2276</v>
      </c>
      <c r="J35" s="233">
        <f t="shared" si="4"/>
        <v>1.245551601423478E-2</v>
      </c>
      <c r="K35" s="214">
        <f>K13</f>
        <v>2248</v>
      </c>
      <c r="L35" s="197"/>
      <c r="M35" s="215"/>
      <c r="N35" s="14"/>
      <c r="O35" s="33"/>
      <c r="P35" s="117"/>
      <c r="Q35" s="33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28" s="11" customFormat="1" ht="10.199999999999999">
      <c r="A36" s="210" t="s">
        <v>103</v>
      </c>
      <c r="B36" s="214">
        <f>B14</f>
        <v>1174</v>
      </c>
      <c r="C36" s="233">
        <f t="shared" si="3"/>
        <v>5.1369863013699391E-3</v>
      </c>
      <c r="D36" s="214">
        <f>D14</f>
        <v>1168</v>
      </c>
      <c r="E36" s="347">
        <f>E14</f>
        <v>1153</v>
      </c>
      <c r="F36" s="515">
        <f t="shared" si="4"/>
        <v>7.8671328671329199E-3</v>
      </c>
      <c r="G36" s="214">
        <f>G14</f>
        <v>1144</v>
      </c>
      <c r="H36" s="233">
        <f t="shared" si="4"/>
        <v>2.4171888988361756E-2</v>
      </c>
      <c r="I36" s="214">
        <f>I14</f>
        <v>1117</v>
      </c>
      <c r="J36" s="233">
        <f t="shared" si="4"/>
        <v>2.1023765996343702E-2</v>
      </c>
      <c r="K36" s="214">
        <f>K14</f>
        <v>1094</v>
      </c>
      <c r="L36" s="197"/>
      <c r="M36" s="215"/>
      <c r="N36" s="14"/>
      <c r="O36" s="33"/>
      <c r="P36" s="117"/>
      <c r="Q36" s="33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28" s="3" customFormat="1" ht="10.199999999999999">
      <c r="A37" s="210" t="s">
        <v>123</v>
      </c>
      <c r="B37" s="208">
        <f>B15+B16+B17+B18+B19+B20+B21+B22+B23+B24</f>
        <v>2044</v>
      </c>
      <c r="C37" s="233">
        <f t="shared" si="3"/>
        <v>2.8686462003019608E-2</v>
      </c>
      <c r="D37" s="208">
        <f>D15+D16+D17+D18+D19+D20+D21+D22+D23+D24</f>
        <v>1987</v>
      </c>
      <c r="E37" s="346">
        <f>E15+E16+E17+E18+E19+E20+E21+E22+E23+E24</f>
        <v>2010</v>
      </c>
      <c r="F37" s="515">
        <f t="shared" si="4"/>
        <v>1.3104838709677491E-2</v>
      </c>
      <c r="G37" s="208">
        <f>G15+G16+G17+G18+G19+G20+G21+G22+G23+G24</f>
        <v>1984</v>
      </c>
      <c r="H37" s="233">
        <f t="shared" si="4"/>
        <v>-1.2444001991040343E-2</v>
      </c>
      <c r="I37" s="208">
        <f>I15+I16+I17+I18+I19+I20+I21+I22+I23+I24</f>
        <v>2009</v>
      </c>
      <c r="J37" s="233">
        <f t="shared" si="4"/>
        <v>-4.4698050404184508E-2</v>
      </c>
      <c r="K37" s="208">
        <f>K15+K16+K17+K18+K19+K20+K21+K22+K23+K24</f>
        <v>2103</v>
      </c>
      <c r="L37" s="197"/>
      <c r="M37" s="209"/>
      <c r="N37" s="14"/>
      <c r="O37" s="21"/>
      <c r="P37" s="117"/>
      <c r="Q37" s="21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s="3" customFormat="1" ht="10.199999999999999">
      <c r="A38" s="210" t="s">
        <v>124</v>
      </c>
      <c r="B38" s="208">
        <f>B25+B26+B27+B28+B29+B30</f>
        <v>255</v>
      </c>
      <c r="C38" s="233">
        <f t="shared" si="3"/>
        <v>-5.9040590405904037E-2</v>
      </c>
      <c r="D38" s="208">
        <f>D25+D26+D27+D28+D29+D30</f>
        <v>271</v>
      </c>
      <c r="E38" s="346">
        <f>E25+E26+E27+E28+E29+E30</f>
        <v>269</v>
      </c>
      <c r="F38" s="515">
        <f t="shared" si="4"/>
        <v>-6.597222222222221E-2</v>
      </c>
      <c r="G38" s="208">
        <f>G25+G26+G27+G28+G29+G30</f>
        <v>288</v>
      </c>
      <c r="H38" s="233">
        <f t="shared" si="4"/>
        <v>-3.0303030303030276E-2</v>
      </c>
      <c r="I38" s="208">
        <f>I25+I26+I27+I28+I29+I30</f>
        <v>297</v>
      </c>
      <c r="J38" s="233">
        <f t="shared" si="4"/>
        <v>2.0618556701030855E-2</v>
      </c>
      <c r="K38" s="208">
        <f>K25+K26+K27+K28+K29+K30</f>
        <v>291</v>
      </c>
      <c r="L38" s="197"/>
      <c r="M38" s="209"/>
      <c r="N38" s="14"/>
      <c r="O38" s="21"/>
      <c r="P38" s="117"/>
      <c r="Q38" s="21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s="11" customFormat="1" ht="10.199999999999999">
      <c r="A39" s="210" t="s">
        <v>125</v>
      </c>
      <c r="B39" s="208">
        <f>B31+B32+B33+B34</f>
        <v>1</v>
      </c>
      <c r="C39" s="233">
        <f t="shared" si="3"/>
        <v>0</v>
      </c>
      <c r="D39" s="208">
        <f>D31+D32+D33+D34</f>
        <v>1</v>
      </c>
      <c r="E39" s="346">
        <f>E31+E32+E33+E34</f>
        <v>2</v>
      </c>
      <c r="F39" s="515">
        <f t="shared" si="4"/>
        <v>1</v>
      </c>
      <c r="G39" s="208">
        <f>G31+G32+G33+G34</f>
        <v>1</v>
      </c>
      <c r="H39" s="233">
        <f t="shared" si="4"/>
        <v>-0.83333333333333337</v>
      </c>
      <c r="I39" s="208">
        <f>I31+I32+I33+I34</f>
        <v>6</v>
      </c>
      <c r="J39" s="233">
        <f t="shared" si="4"/>
        <v>0.19999999999999996</v>
      </c>
      <c r="K39" s="208">
        <f>K31+K32+K33+K34</f>
        <v>5</v>
      </c>
      <c r="L39" s="197"/>
      <c r="M39" s="209"/>
      <c r="N39" s="14"/>
      <c r="O39" s="21"/>
      <c r="P39" s="117"/>
      <c r="Q39" s="21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</row>
    <row r="40" spans="1:28" s="3" customFormat="1" ht="10.199999999999999">
      <c r="A40" s="216" t="s">
        <v>126</v>
      </c>
      <c r="B40" s="217">
        <f>SUM(B35:B39)</f>
        <v>5950</v>
      </c>
      <c r="C40" s="234">
        <f t="shared" si="3"/>
        <v>2.4625452040640594E-2</v>
      </c>
      <c r="D40" s="217">
        <f>SUM(D35:D39)</f>
        <v>5807</v>
      </c>
      <c r="E40" s="348">
        <f>SUM(E35:E39)</f>
        <v>5821</v>
      </c>
      <c r="F40" s="516">
        <f t="shared" si="4"/>
        <v>8.1399376515414179E-3</v>
      </c>
      <c r="G40" s="217">
        <f>SUM(G35:G39)</f>
        <v>5774</v>
      </c>
      <c r="H40" s="234">
        <f t="shared" si="4"/>
        <v>1.2094653812445122E-2</v>
      </c>
      <c r="I40" s="217">
        <f>SUM(I35:I39)</f>
        <v>5705</v>
      </c>
      <c r="J40" s="234">
        <f t="shared" si="4"/>
        <v>-6.2706845497300101E-3</v>
      </c>
      <c r="K40" s="217">
        <f>SUM(K35:K39)</f>
        <v>5741</v>
      </c>
      <c r="L40" s="190">
        <f>(K40/M40)-1</f>
        <v>-6.2316081010905799E-3</v>
      </c>
      <c r="M40" s="218">
        <v>5777</v>
      </c>
      <c r="N40" s="8"/>
      <c r="O40" s="44"/>
      <c r="P40" s="130"/>
      <c r="Q40" s="44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s="137" customFormat="1" ht="10.199999999999999">
      <c r="A41" s="219" t="s">
        <v>136</v>
      </c>
      <c r="B41" s="220">
        <f>B40/Group!B152</f>
        <v>8.5391581394681323E-2</v>
      </c>
      <c r="C41" s="197"/>
      <c r="D41" s="220">
        <f>D40/Group!D152</f>
        <v>8.4394256481804444E-2</v>
      </c>
      <c r="E41" s="349">
        <f>E40/Group!E152</f>
        <v>8.1028410751820046E-2</v>
      </c>
      <c r="F41" s="220"/>
      <c r="G41" s="220">
        <f>G40/Group!G152</f>
        <v>7.8756052649526023E-2</v>
      </c>
      <c r="H41" s="197"/>
      <c r="I41" s="220">
        <f>I40/Group!I152</f>
        <v>7.8251447068828348E-2</v>
      </c>
      <c r="J41" s="221"/>
      <c r="K41" s="220">
        <f>K40/Group!K152</f>
        <v>7.8536251709986321E-2</v>
      </c>
      <c r="L41" s="221"/>
      <c r="M41" s="221">
        <f>M40/Group!M152</f>
        <v>7.8057019321713286E-2</v>
      </c>
      <c r="N41" s="222"/>
      <c r="O41" s="135"/>
      <c r="P41" s="134"/>
      <c r="Q41" s="135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</row>
    <row r="42" spans="1:28" ht="12" customHeight="1">
      <c r="A42" s="193"/>
      <c r="B42" s="203"/>
      <c r="C42" s="197"/>
      <c r="D42" s="203"/>
      <c r="E42" s="203"/>
      <c r="F42" s="203"/>
      <c r="G42" s="203"/>
      <c r="H42" s="197"/>
      <c r="I42" s="203"/>
      <c r="J42" s="195"/>
      <c r="K42" s="203"/>
      <c r="L42" s="195"/>
      <c r="M42" s="203"/>
    </row>
    <row r="43" spans="1:28" s="107" customFormat="1" ht="12" customHeight="1">
      <c r="A43" s="216" t="s">
        <v>3</v>
      </c>
      <c r="B43" s="204"/>
      <c r="C43" s="197"/>
      <c r="D43" s="204"/>
      <c r="E43" s="204"/>
      <c r="F43" s="204"/>
      <c r="G43" s="204"/>
      <c r="H43" s="197"/>
      <c r="I43" s="204"/>
      <c r="J43" s="195"/>
      <c r="K43" s="204"/>
      <c r="L43" s="195"/>
      <c r="M43" s="204"/>
    </row>
    <row r="44" spans="1:28" s="3" customFormat="1" ht="10.199999999999999">
      <c r="A44" s="205" t="s">
        <v>102</v>
      </c>
      <c r="B44" s="509">
        <v>19.5</v>
      </c>
      <c r="C44" s="233">
        <f t="shared" ref="C44:C71" si="5">IF((+B44/D44)&lt;0,"n.m.",IF(B44&lt;0,(+B44/D44-1)*-1,(+B44/D44-1)))</f>
        <v>0.3256288239292997</v>
      </c>
      <c r="D44" s="509">
        <v>14.71</v>
      </c>
      <c r="E44" s="479">
        <v>77.69</v>
      </c>
      <c r="F44" s="515">
        <f t="shared" ref="F44:J71" si="6">IF((+E44/G44)&lt;0,"n.m.",IF(E44&lt;0,(+E44/G44-1)*-1,(+E44/G44-1)))</f>
        <v>0.48319969453990064</v>
      </c>
      <c r="G44" s="223">
        <v>52.38</v>
      </c>
      <c r="H44" s="233">
        <f t="shared" si="6"/>
        <v>-4.1186161449752845E-2</v>
      </c>
      <c r="I44" s="223">
        <v>54.63</v>
      </c>
      <c r="J44" s="233">
        <f t="shared" si="6"/>
        <v>-3.4805653710247353E-2</v>
      </c>
      <c r="K44" s="223">
        <v>56.6</v>
      </c>
      <c r="L44" s="197"/>
      <c r="M44" s="207"/>
      <c r="N44" s="14"/>
      <c r="O44" s="33"/>
      <c r="P44" s="117"/>
      <c r="Q44" s="76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 s="3" customFormat="1" ht="10.199999999999999">
      <c r="A45" s="205" t="s">
        <v>103</v>
      </c>
      <c r="B45" s="509">
        <v>9.9700000000000006</v>
      </c>
      <c r="C45" s="233">
        <f t="shared" si="5"/>
        <v>0.36388508891928883</v>
      </c>
      <c r="D45" s="509">
        <v>7.31</v>
      </c>
      <c r="E45" s="479">
        <v>34.94</v>
      </c>
      <c r="F45" s="515">
        <f t="shared" si="6"/>
        <v>7.772979642196165E-2</v>
      </c>
      <c r="G45" s="223">
        <v>32.42</v>
      </c>
      <c r="H45" s="233">
        <f t="shared" si="6"/>
        <v>-0.10218775962337301</v>
      </c>
      <c r="I45" s="223">
        <v>36.11</v>
      </c>
      <c r="J45" s="233">
        <f t="shared" si="6"/>
        <v>9.5051719317862382E-3</v>
      </c>
      <c r="K45" s="223">
        <v>35.770000000000003</v>
      </c>
      <c r="L45" s="197"/>
      <c r="M45" s="207"/>
      <c r="N45" s="14"/>
      <c r="O45" s="33"/>
      <c r="P45" s="117"/>
      <c r="Q45" s="76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s="3" customFormat="1" ht="10.199999999999999">
      <c r="A46" s="205" t="s">
        <v>104</v>
      </c>
      <c r="B46" s="509">
        <v>1.28</v>
      </c>
      <c r="C46" s="233">
        <f t="shared" si="5"/>
        <v>-0.39336492890995256</v>
      </c>
      <c r="D46" s="509">
        <v>2.11</v>
      </c>
      <c r="E46" s="479">
        <v>5.89</v>
      </c>
      <c r="F46" s="515">
        <f t="shared" si="6"/>
        <v>-0.25818639798488674</v>
      </c>
      <c r="G46" s="223">
        <v>7.94</v>
      </c>
      <c r="H46" s="233">
        <f t="shared" si="6"/>
        <v>-3.6407766990291246E-2</v>
      </c>
      <c r="I46" s="223">
        <v>8.24</v>
      </c>
      <c r="J46" s="233">
        <f t="shared" si="6"/>
        <v>-0.47111681643132219</v>
      </c>
      <c r="K46" s="223">
        <v>15.58</v>
      </c>
      <c r="L46" s="197"/>
      <c r="M46" s="207"/>
      <c r="N46" s="14"/>
      <c r="O46" s="33"/>
      <c r="P46" s="117"/>
      <c r="Q46" s="76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 s="3" customFormat="1" ht="10.199999999999999">
      <c r="A47" s="205" t="s">
        <v>105</v>
      </c>
      <c r="B47" s="509">
        <v>0.8</v>
      </c>
      <c r="C47" s="233">
        <f t="shared" si="5"/>
        <v>-0.40298507462686572</v>
      </c>
      <c r="D47" s="509">
        <v>1.34</v>
      </c>
      <c r="E47" s="479">
        <v>6.43</v>
      </c>
      <c r="F47" s="515">
        <f t="shared" si="6"/>
        <v>-0.23086124401913877</v>
      </c>
      <c r="G47" s="223">
        <v>8.36</v>
      </c>
      <c r="H47" s="233">
        <f t="shared" si="6"/>
        <v>0.47964601769911486</v>
      </c>
      <c r="I47" s="223">
        <v>5.65</v>
      </c>
      <c r="J47" s="233">
        <f t="shared" si="6"/>
        <v>-4.7217537942664478E-2</v>
      </c>
      <c r="K47" s="223">
        <v>5.9300000000000006</v>
      </c>
      <c r="L47" s="197"/>
      <c r="M47" s="207"/>
      <c r="N47" s="14"/>
      <c r="O47" s="33"/>
      <c r="P47" s="117"/>
      <c r="Q47" s="76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 s="11" customFormat="1" ht="10.199999999999999">
      <c r="A48" s="205" t="s">
        <v>106</v>
      </c>
      <c r="B48" s="509">
        <v>0.18</v>
      </c>
      <c r="C48" s="233">
        <f t="shared" si="5"/>
        <v>-0.7142857142857143</v>
      </c>
      <c r="D48" s="509">
        <v>0.63</v>
      </c>
      <c r="E48" s="479">
        <v>1.67</v>
      </c>
      <c r="F48" s="515">
        <f t="shared" si="6"/>
        <v>-0.80957810718358036</v>
      </c>
      <c r="G48" s="223">
        <v>8.77</v>
      </c>
      <c r="H48" s="233">
        <f t="shared" si="6"/>
        <v>0.50946643717728057</v>
      </c>
      <c r="I48" s="223">
        <v>5.81</v>
      </c>
      <c r="J48" s="233">
        <f t="shared" si="6"/>
        <v>0.24678111587982809</v>
      </c>
      <c r="K48" s="223">
        <v>4.66</v>
      </c>
      <c r="L48" s="197"/>
      <c r="M48" s="207"/>
      <c r="N48" s="14"/>
      <c r="O48" s="33"/>
      <c r="P48" s="117"/>
      <c r="Q48" s="76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</row>
    <row r="49" spans="1:28" s="11" customFormat="1" ht="10.199999999999999">
      <c r="A49" s="205" t="s">
        <v>154</v>
      </c>
      <c r="B49" s="509">
        <v>1.57</v>
      </c>
      <c r="C49" s="233">
        <f t="shared" si="5"/>
        <v>0.27642276422764245</v>
      </c>
      <c r="D49" s="509">
        <v>1.23</v>
      </c>
      <c r="E49" s="479">
        <v>6.02</v>
      </c>
      <c r="F49" s="515">
        <f t="shared" si="6"/>
        <v>-0.32054176072234764</v>
      </c>
      <c r="G49" s="223">
        <v>8.86</v>
      </c>
      <c r="H49" s="233">
        <f t="shared" si="6"/>
        <v>0.5963963963963963</v>
      </c>
      <c r="I49" s="223">
        <v>5.55</v>
      </c>
      <c r="J49" s="233">
        <f t="shared" si="6"/>
        <v>0.875</v>
      </c>
      <c r="K49" s="223">
        <v>2.96</v>
      </c>
      <c r="L49" s="197"/>
      <c r="M49" s="207"/>
      <c r="N49" s="14"/>
      <c r="O49" s="33"/>
      <c r="P49" s="117"/>
      <c r="Q49" s="76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</row>
    <row r="50" spans="1:28" s="11" customFormat="1" ht="10.199999999999999">
      <c r="A50" s="205" t="s">
        <v>107</v>
      </c>
      <c r="B50" s="509">
        <v>0.21</v>
      </c>
      <c r="C50" s="233">
        <f t="shared" si="5"/>
        <v>0.39999999999999991</v>
      </c>
      <c r="D50" s="509">
        <v>0.15</v>
      </c>
      <c r="E50" s="479">
        <v>1.79</v>
      </c>
      <c r="F50" s="515">
        <f t="shared" si="6"/>
        <v>0.79</v>
      </c>
      <c r="G50" s="223">
        <v>1</v>
      </c>
      <c r="H50" s="233">
        <f t="shared" si="6"/>
        <v>-0.38650306748466257</v>
      </c>
      <c r="I50" s="223">
        <v>1.63</v>
      </c>
      <c r="J50" s="233">
        <f t="shared" si="6"/>
        <v>-0.17258883248730972</v>
      </c>
      <c r="K50" s="223">
        <v>1.97</v>
      </c>
      <c r="L50" s="197"/>
      <c r="M50" s="207"/>
      <c r="N50" s="14"/>
      <c r="O50" s="33"/>
      <c r="P50" s="117"/>
      <c r="Q50" s="76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</row>
    <row r="51" spans="1:28" s="11" customFormat="1" ht="10.199999999999999">
      <c r="A51" s="205" t="s">
        <v>108</v>
      </c>
      <c r="B51" s="509">
        <v>0.87</v>
      </c>
      <c r="C51" s="233">
        <f t="shared" si="5"/>
        <v>4.1176470588235299</v>
      </c>
      <c r="D51" s="509">
        <v>0.16999999999999998</v>
      </c>
      <c r="E51" s="479">
        <v>0.75</v>
      </c>
      <c r="F51" s="515">
        <f t="shared" si="6"/>
        <v>0.44230769230769229</v>
      </c>
      <c r="G51" s="223">
        <v>0.52</v>
      </c>
      <c r="H51" s="233">
        <f t="shared" si="6"/>
        <v>-0.81090909090909091</v>
      </c>
      <c r="I51" s="223">
        <v>2.75</v>
      </c>
      <c r="J51" s="233">
        <f t="shared" si="6"/>
        <v>0.27906976744186052</v>
      </c>
      <c r="K51" s="223">
        <v>2.15</v>
      </c>
      <c r="L51" s="197"/>
      <c r="M51" s="207"/>
      <c r="N51" s="14"/>
      <c r="O51" s="33"/>
      <c r="P51" s="117"/>
      <c r="Q51" s="76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</row>
    <row r="52" spans="1:28" s="11" customFormat="1" ht="10.199999999999999">
      <c r="A52" s="205" t="s">
        <v>109</v>
      </c>
      <c r="B52" s="509">
        <v>0.13</v>
      </c>
      <c r="C52" s="233">
        <f t="shared" si="5"/>
        <v>8.3333333333333481E-2</v>
      </c>
      <c r="D52" s="509">
        <v>0.12</v>
      </c>
      <c r="E52" s="479">
        <v>1.1200000000000001</v>
      </c>
      <c r="F52" s="515">
        <f t="shared" si="6"/>
        <v>0.12000000000000011</v>
      </c>
      <c r="G52" s="223">
        <v>1</v>
      </c>
      <c r="H52" s="233">
        <f t="shared" si="6"/>
        <v>0.19047619047619047</v>
      </c>
      <c r="I52" s="223">
        <v>0.84</v>
      </c>
      <c r="J52" s="233">
        <f t="shared" si="6"/>
        <v>0.37704918032786883</v>
      </c>
      <c r="K52" s="223">
        <v>0.61</v>
      </c>
      <c r="L52" s="197"/>
      <c r="M52" s="207"/>
      <c r="N52" s="14"/>
      <c r="O52" s="33"/>
      <c r="P52" s="117"/>
      <c r="Q52" s="76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</row>
    <row r="53" spans="1:28" s="11" customFormat="1" ht="10.199999999999999">
      <c r="A53" s="205" t="s">
        <v>110</v>
      </c>
      <c r="B53" s="509">
        <v>0</v>
      </c>
      <c r="C53" s="515">
        <f t="shared" si="5"/>
        <v>-1</v>
      </c>
      <c r="D53" s="509">
        <v>0.3</v>
      </c>
      <c r="E53" s="479">
        <v>0.34</v>
      </c>
      <c r="F53" s="515">
        <f t="shared" si="6"/>
        <v>4.666666666666667</v>
      </c>
      <c r="G53" s="223">
        <v>0.06</v>
      </c>
      <c r="H53" s="233">
        <f t="shared" si="6"/>
        <v>-0.14285714285714302</v>
      </c>
      <c r="I53" s="223">
        <v>7.0000000000000007E-2</v>
      </c>
      <c r="J53" s="233">
        <f t="shared" si="6"/>
        <v>-0.12499999999999989</v>
      </c>
      <c r="K53" s="223">
        <v>0.08</v>
      </c>
      <c r="L53" s="197"/>
      <c r="M53" s="207"/>
      <c r="N53" s="14"/>
      <c r="O53" s="33"/>
      <c r="P53" s="117"/>
      <c r="Q53" s="76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</row>
    <row r="54" spans="1:28" s="11" customFormat="1" ht="10.199999999999999">
      <c r="A54" s="205" t="s">
        <v>111</v>
      </c>
      <c r="B54" s="509">
        <v>0.08</v>
      </c>
      <c r="C54" s="233">
        <f t="shared" si="5"/>
        <v>-0.27272727272727271</v>
      </c>
      <c r="D54" s="509">
        <v>0.11</v>
      </c>
      <c r="E54" s="479">
        <v>0.82</v>
      </c>
      <c r="F54" s="515">
        <f t="shared" si="6"/>
        <v>2.4999999999999911E-2</v>
      </c>
      <c r="G54" s="223">
        <v>0.8</v>
      </c>
      <c r="H54" s="233">
        <f t="shared" si="6"/>
        <v>0.35593220338983067</v>
      </c>
      <c r="I54" s="223">
        <v>0.59</v>
      </c>
      <c r="J54" s="233">
        <f t="shared" si="6"/>
        <v>-0.43809523809523809</v>
      </c>
      <c r="K54" s="223">
        <v>1.05</v>
      </c>
      <c r="L54" s="197"/>
      <c r="M54" s="207"/>
      <c r="N54" s="14"/>
      <c r="O54" s="33"/>
      <c r="P54" s="117"/>
      <c r="Q54" s="76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</row>
    <row r="55" spans="1:28" s="11" customFormat="1" ht="10.199999999999999">
      <c r="A55" s="205" t="s">
        <v>112</v>
      </c>
      <c r="B55" s="509">
        <v>0.3</v>
      </c>
      <c r="C55" s="233">
        <f t="shared" si="5"/>
        <v>0</v>
      </c>
      <c r="D55" s="509">
        <v>0.3</v>
      </c>
      <c r="E55" s="479">
        <v>1.24</v>
      </c>
      <c r="F55" s="515">
        <f t="shared" si="6"/>
        <v>0.16981132075471694</v>
      </c>
      <c r="G55" s="223">
        <v>1.06</v>
      </c>
      <c r="H55" s="233">
        <f t="shared" si="6"/>
        <v>6.0000000000000053E-2</v>
      </c>
      <c r="I55" s="223">
        <v>1</v>
      </c>
      <c r="J55" s="233">
        <f t="shared" si="6"/>
        <v>6.3829787234042534E-2</v>
      </c>
      <c r="K55" s="223">
        <v>0.94000000000000006</v>
      </c>
      <c r="L55" s="197"/>
      <c r="M55" s="207"/>
      <c r="N55" s="14"/>
      <c r="O55" s="33"/>
      <c r="P55" s="117"/>
      <c r="Q55" s="76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</row>
    <row r="56" spans="1:28" s="11" customFormat="1" ht="10.199999999999999">
      <c r="A56" s="205" t="s">
        <v>113</v>
      </c>
      <c r="B56" s="509">
        <v>0.48</v>
      </c>
      <c r="C56" s="233">
        <f t="shared" si="5"/>
        <v>-0.14285714285714302</v>
      </c>
      <c r="D56" s="509">
        <v>0.56000000000000005</v>
      </c>
      <c r="E56" s="479">
        <v>16.88</v>
      </c>
      <c r="F56" s="515">
        <f t="shared" si="6"/>
        <v>3.5745257452574526</v>
      </c>
      <c r="G56" s="223">
        <v>3.69</v>
      </c>
      <c r="H56" s="233">
        <f t="shared" si="6"/>
        <v>-0.185430463576159</v>
      </c>
      <c r="I56" s="223">
        <v>4.53</v>
      </c>
      <c r="J56" s="233">
        <f t="shared" si="6"/>
        <v>0.20799999999999996</v>
      </c>
      <c r="K56" s="223">
        <v>3.75</v>
      </c>
      <c r="L56" s="197"/>
      <c r="M56" s="207"/>
      <c r="N56" s="14"/>
      <c r="O56" s="33"/>
      <c r="P56" s="117"/>
      <c r="Q56" s="76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</row>
    <row r="57" spans="1:28" s="11" customFormat="1" ht="10.199999999999999">
      <c r="A57" s="205" t="s">
        <v>114</v>
      </c>
      <c r="B57" s="350">
        <v>0.22</v>
      </c>
      <c r="C57" s="233">
        <f t="shared" si="5"/>
        <v>0.15789473684210531</v>
      </c>
      <c r="D57" s="350">
        <v>0.19</v>
      </c>
      <c r="E57" s="480">
        <v>0.62</v>
      </c>
      <c r="F57" s="515">
        <f t="shared" si="6"/>
        <v>-0.12676056338028163</v>
      </c>
      <c r="G57" s="224">
        <v>0.71</v>
      </c>
      <c r="H57" s="233">
        <f t="shared" si="6"/>
        <v>-0.5</v>
      </c>
      <c r="I57" s="224">
        <v>1.42</v>
      </c>
      <c r="J57" s="233">
        <f t="shared" si="6"/>
        <v>0.16393442622950816</v>
      </c>
      <c r="K57" s="224">
        <v>1.22</v>
      </c>
      <c r="L57" s="197"/>
      <c r="M57" s="209"/>
      <c r="N57" s="14"/>
      <c r="O57" s="33"/>
      <c r="P57" s="117"/>
      <c r="Q57" s="76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</row>
    <row r="58" spans="1:28" s="11" customFormat="1" ht="10.199999999999999">
      <c r="A58" s="205" t="s">
        <v>115</v>
      </c>
      <c r="B58" s="509">
        <v>0.21</v>
      </c>
      <c r="C58" s="233">
        <f t="shared" si="5"/>
        <v>-4.5454545454545525E-2</v>
      </c>
      <c r="D58" s="509">
        <v>0.22</v>
      </c>
      <c r="E58" s="479">
        <v>0.67</v>
      </c>
      <c r="F58" s="515">
        <f t="shared" si="6"/>
        <v>-0.51449275362318836</v>
      </c>
      <c r="G58" s="223">
        <v>1.38</v>
      </c>
      <c r="H58" s="233">
        <f t="shared" si="6"/>
        <v>1.4705882352941124E-2</v>
      </c>
      <c r="I58" s="223">
        <v>1.36</v>
      </c>
      <c r="J58" s="233">
        <f t="shared" si="6"/>
        <v>-0.28042328042328035</v>
      </c>
      <c r="K58" s="223">
        <v>1.89</v>
      </c>
      <c r="L58" s="197"/>
      <c r="M58" s="207"/>
      <c r="N58" s="14"/>
      <c r="O58" s="33"/>
      <c r="P58" s="117"/>
      <c r="Q58" s="76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</row>
    <row r="59" spans="1:28" s="3" customFormat="1" ht="10.199999999999999">
      <c r="A59" s="205" t="s">
        <v>116</v>
      </c>
      <c r="B59" s="509">
        <v>0.04</v>
      </c>
      <c r="C59" s="233">
        <f t="shared" si="5"/>
        <v>3</v>
      </c>
      <c r="D59" s="509">
        <v>0.01</v>
      </c>
      <c r="E59" s="479">
        <v>0.65</v>
      </c>
      <c r="F59" s="515">
        <f t="shared" si="6"/>
        <v>20.666666666666668</v>
      </c>
      <c r="G59" s="223">
        <v>0.03</v>
      </c>
      <c r="H59" s="233">
        <f t="shared" si="6"/>
        <v>-0.88888888888888884</v>
      </c>
      <c r="I59" s="223">
        <v>0.27</v>
      </c>
      <c r="J59" s="233">
        <f t="shared" si="6"/>
        <v>3.8461538461538547E-2</v>
      </c>
      <c r="K59" s="223">
        <v>0.26</v>
      </c>
      <c r="L59" s="197"/>
      <c r="M59" s="207"/>
      <c r="N59" s="14"/>
      <c r="O59" s="33"/>
      <c r="P59" s="117"/>
      <c r="Q59" s="76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 s="11" customFormat="1" ht="10.199999999999999">
      <c r="A60" s="205" t="s">
        <v>117</v>
      </c>
      <c r="B60" s="509">
        <v>0.06</v>
      </c>
      <c r="C60" s="233">
        <f t="shared" si="5"/>
        <v>-0.81818181818181823</v>
      </c>
      <c r="D60" s="509">
        <v>0.33</v>
      </c>
      <c r="E60" s="479">
        <v>0.69000000000000006</v>
      </c>
      <c r="F60" s="515">
        <f t="shared" si="6"/>
        <v>-0.15853658536585358</v>
      </c>
      <c r="G60" s="223">
        <v>0.82</v>
      </c>
      <c r="H60" s="233">
        <f t="shared" si="6"/>
        <v>0.6734693877551019</v>
      </c>
      <c r="I60" s="223">
        <v>0.49</v>
      </c>
      <c r="J60" s="233">
        <f t="shared" si="6"/>
        <v>4.4444444444444446</v>
      </c>
      <c r="K60" s="223">
        <v>0.09</v>
      </c>
      <c r="L60" s="197"/>
      <c r="M60" s="207"/>
      <c r="N60" s="14"/>
      <c r="O60" s="33"/>
      <c r="P60" s="117"/>
      <c r="Q60" s="76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</row>
    <row r="61" spans="1:28" s="11" customFormat="1" ht="10.199999999999999">
      <c r="A61" s="205" t="s">
        <v>118</v>
      </c>
      <c r="B61" s="509">
        <v>0</v>
      </c>
      <c r="C61" s="233">
        <f t="shared" si="5"/>
        <v>-1</v>
      </c>
      <c r="D61" s="509">
        <v>6.0000000000000005E-2</v>
      </c>
      <c r="E61" s="479">
        <v>0.14000000000000001</v>
      </c>
      <c r="F61" s="515">
        <f t="shared" si="6"/>
        <v>-0.2222222222222221</v>
      </c>
      <c r="G61" s="223">
        <v>0.18</v>
      </c>
      <c r="H61" s="233">
        <f t="shared" si="6"/>
        <v>-0.7857142857142857</v>
      </c>
      <c r="I61" s="223">
        <v>0.84</v>
      </c>
      <c r="J61" s="233">
        <f t="shared" si="6"/>
        <v>15.799999999999997</v>
      </c>
      <c r="K61" s="223">
        <v>0.05</v>
      </c>
      <c r="L61" s="197"/>
      <c r="M61" s="207"/>
      <c r="N61" s="14"/>
      <c r="O61" s="33"/>
      <c r="P61" s="117"/>
      <c r="Q61" s="76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</row>
    <row r="62" spans="1:28" s="11" customFormat="1" ht="10.199999999999999">
      <c r="A62" s="205" t="s">
        <v>119</v>
      </c>
      <c r="B62" s="509">
        <v>0.12</v>
      </c>
      <c r="C62" s="233">
        <f t="shared" si="5"/>
        <v>0.99999999999999978</v>
      </c>
      <c r="D62" s="509">
        <v>6.0000000000000005E-2</v>
      </c>
      <c r="E62" s="479">
        <v>0.13999999999999999</v>
      </c>
      <c r="F62" s="515">
        <f t="shared" si="6"/>
        <v>-0.76666666666666672</v>
      </c>
      <c r="G62" s="223">
        <v>0.6</v>
      </c>
      <c r="H62" s="270" t="s">
        <v>13</v>
      </c>
      <c r="I62" s="223">
        <v>0.01</v>
      </c>
      <c r="J62" s="233"/>
      <c r="K62" s="223">
        <v>0</v>
      </c>
      <c r="L62" s="197"/>
      <c r="M62" s="207"/>
      <c r="N62" s="14"/>
      <c r="O62" s="33"/>
      <c r="P62" s="117"/>
      <c r="Q62" s="76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</row>
    <row r="63" spans="1:28" s="11" customFormat="1" ht="10.199999999999999">
      <c r="A63" s="205" t="s">
        <v>120</v>
      </c>
      <c r="B63" s="509">
        <v>0</v>
      </c>
      <c r="C63" s="233">
        <f t="shared" si="5"/>
        <v>-1</v>
      </c>
      <c r="D63" s="509">
        <v>0.09</v>
      </c>
      <c r="E63" s="479">
        <v>0.55000000000000004</v>
      </c>
      <c r="F63" s="515">
        <f t="shared" si="6"/>
        <v>-5.1724137931034364E-2</v>
      </c>
      <c r="G63" s="223">
        <v>0.57999999999999996</v>
      </c>
      <c r="H63" s="233">
        <f t="shared" si="6"/>
        <v>1.3199999999999998</v>
      </c>
      <c r="I63" s="223">
        <v>0.25</v>
      </c>
      <c r="J63" s="233">
        <f t="shared" si="6"/>
        <v>0.66666666666666674</v>
      </c>
      <c r="K63" s="223">
        <v>0.15</v>
      </c>
      <c r="L63" s="211"/>
      <c r="M63" s="207"/>
      <c r="N63" s="37"/>
      <c r="O63" s="38"/>
      <c r="P63" s="122"/>
      <c r="Q63" s="76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</row>
    <row r="64" spans="1:28" s="11" customFormat="1" ht="10.199999999999999">
      <c r="A64" s="205" t="s">
        <v>121</v>
      </c>
      <c r="B64" s="511">
        <v>0.02</v>
      </c>
      <c r="C64" s="233">
        <f t="shared" si="5"/>
        <v>-0.96666666666666667</v>
      </c>
      <c r="D64" s="511">
        <v>0.6</v>
      </c>
      <c r="E64" s="481">
        <v>0.94</v>
      </c>
      <c r="F64" s="515">
        <f t="shared" si="6"/>
        <v>-0.8041666666666667</v>
      </c>
      <c r="G64" s="225">
        <v>4.8</v>
      </c>
      <c r="H64" s="233">
        <f t="shared" si="6"/>
        <v>39</v>
      </c>
      <c r="I64" s="225">
        <v>0.12</v>
      </c>
      <c r="J64" s="233">
        <f t="shared" si="6"/>
        <v>0.19999999999999996</v>
      </c>
      <c r="K64" s="225">
        <v>0.1</v>
      </c>
      <c r="L64" s="197"/>
      <c r="M64" s="213"/>
      <c r="N64" s="13"/>
      <c r="O64" s="33"/>
      <c r="P64" s="13"/>
      <c r="Q64" s="33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</row>
    <row r="65" spans="1:28" s="11" customFormat="1" ht="10.199999999999999">
      <c r="A65" s="205" t="s">
        <v>122</v>
      </c>
      <c r="B65" s="511">
        <v>0.02</v>
      </c>
      <c r="C65" s="233">
        <f t="shared" si="5"/>
        <v>-0.66666666666666663</v>
      </c>
      <c r="D65" s="511">
        <v>0.06</v>
      </c>
      <c r="E65" s="481">
        <v>0.27</v>
      </c>
      <c r="F65" s="515">
        <f t="shared" si="6"/>
        <v>0.6875</v>
      </c>
      <c r="G65" s="225">
        <v>0.16</v>
      </c>
      <c r="H65" s="233">
        <f t="shared" si="6"/>
        <v>-0.64444444444444438</v>
      </c>
      <c r="I65" s="225">
        <v>0.45</v>
      </c>
      <c r="J65" s="233">
        <f t="shared" si="6"/>
        <v>0.18421052631578938</v>
      </c>
      <c r="K65" s="225">
        <v>0.38</v>
      </c>
      <c r="L65" s="197"/>
      <c r="M65" s="213"/>
      <c r="N65" s="13"/>
      <c r="O65" s="33"/>
      <c r="P65" s="13"/>
      <c r="Q65" s="33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</row>
    <row r="66" spans="1:28" s="11" customFormat="1" ht="10.199999999999999">
      <c r="A66" s="210" t="s">
        <v>102</v>
      </c>
      <c r="B66" s="226">
        <f>B44</f>
        <v>19.5</v>
      </c>
      <c r="C66" s="233">
        <f t="shared" si="5"/>
        <v>0.3256288239292997</v>
      </c>
      <c r="D66" s="226">
        <f>D44</f>
        <v>14.71</v>
      </c>
      <c r="E66" s="351">
        <f>E44</f>
        <v>77.69</v>
      </c>
      <c r="F66" s="515">
        <f t="shared" si="6"/>
        <v>0.48319969453990064</v>
      </c>
      <c r="G66" s="226">
        <f>G44</f>
        <v>52.38</v>
      </c>
      <c r="H66" s="233">
        <f t="shared" si="6"/>
        <v>-4.1186161449752845E-2</v>
      </c>
      <c r="I66" s="226">
        <f>I44</f>
        <v>54.63</v>
      </c>
      <c r="J66" s="233">
        <f t="shared" si="6"/>
        <v>-3.4805653710247353E-2</v>
      </c>
      <c r="K66" s="226">
        <f>K44</f>
        <v>56.6</v>
      </c>
      <c r="L66" s="197"/>
      <c r="M66" s="215"/>
      <c r="N66" s="14"/>
      <c r="O66" s="33"/>
      <c r="P66" s="117"/>
      <c r="Q66" s="33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</row>
    <row r="67" spans="1:28" s="11" customFormat="1" ht="10.199999999999999">
      <c r="A67" s="210" t="s">
        <v>103</v>
      </c>
      <c r="B67" s="226">
        <f>B45</f>
        <v>9.9700000000000006</v>
      </c>
      <c r="C67" s="233">
        <f t="shared" si="5"/>
        <v>0.36388508891928883</v>
      </c>
      <c r="D67" s="226">
        <f>D45</f>
        <v>7.31</v>
      </c>
      <c r="E67" s="351">
        <f>E45</f>
        <v>34.94</v>
      </c>
      <c r="F67" s="515">
        <f t="shared" si="6"/>
        <v>7.772979642196165E-2</v>
      </c>
      <c r="G67" s="226">
        <f>G45</f>
        <v>32.42</v>
      </c>
      <c r="H67" s="233">
        <f t="shared" si="6"/>
        <v>-0.10218775962337301</v>
      </c>
      <c r="I67" s="226">
        <f>I45</f>
        <v>36.11</v>
      </c>
      <c r="J67" s="233">
        <f t="shared" si="6"/>
        <v>9.5051719317862382E-3</v>
      </c>
      <c r="K67" s="226">
        <f>K45</f>
        <v>35.770000000000003</v>
      </c>
      <c r="L67" s="197"/>
      <c r="M67" s="215"/>
      <c r="N67" s="14"/>
      <c r="O67" s="33"/>
      <c r="P67" s="117"/>
      <c r="Q67" s="33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s="3" customFormat="1" ht="10.199999999999999">
      <c r="A68" s="210" t="s">
        <v>123</v>
      </c>
      <c r="B68" s="224">
        <f>B46+B47+B48+B49+B50+B51+B52+B53+B54+B55</f>
        <v>5.42</v>
      </c>
      <c r="C68" s="233">
        <f t="shared" si="5"/>
        <v>-0.16099071207430349</v>
      </c>
      <c r="D68" s="224">
        <f>D46+D47+D48+D49+D50+D51+D52+D53+D54+D55</f>
        <v>6.4600000000000009</v>
      </c>
      <c r="E68" s="350">
        <f>E46+E47+E48+E49+E50+E51+E52+E53+E54+E55</f>
        <v>26.069999999999997</v>
      </c>
      <c r="F68" s="515">
        <f t="shared" si="6"/>
        <v>-0.32056293979671635</v>
      </c>
      <c r="G68" s="224">
        <f>G46+G47+G48+G49+G50+G51+G52+G53+G54+G55</f>
        <v>38.370000000000005</v>
      </c>
      <c r="H68" s="233">
        <f t="shared" si="6"/>
        <v>0.19421101774042993</v>
      </c>
      <c r="I68" s="224">
        <f>I46+I47+I48+I49+I50+I51+I52+I53+I54+I55</f>
        <v>32.129999999999995</v>
      </c>
      <c r="J68" s="233">
        <f t="shared" si="6"/>
        <v>-0.10576120233787911</v>
      </c>
      <c r="K68" s="224">
        <f>K46+K47+K48+K49+K50+K51+K52+K53+K54+K55</f>
        <v>35.929999999999993</v>
      </c>
      <c r="L68" s="197"/>
      <c r="M68" s="209"/>
      <c r="N68" s="14"/>
      <c r="O68" s="21"/>
      <c r="P68" s="117"/>
      <c r="Q68" s="21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 s="3" customFormat="1" ht="10.199999999999999">
      <c r="A69" s="210" t="s">
        <v>124</v>
      </c>
      <c r="B69" s="224">
        <f>B56+B57+B58+B59+B60+B61</f>
        <v>1.01</v>
      </c>
      <c r="C69" s="233">
        <f t="shared" si="5"/>
        <v>-0.26277372262773724</v>
      </c>
      <c r="D69" s="224">
        <f>D56+D57+D58+D59+D60+D61</f>
        <v>1.37</v>
      </c>
      <c r="E69" s="350">
        <f>E56+E57+E58+E59+E60+E61</f>
        <v>19.650000000000002</v>
      </c>
      <c r="F69" s="515">
        <f t="shared" si="6"/>
        <v>1.8854625550660793</v>
      </c>
      <c r="G69" s="224">
        <f>G56+G57+G58+G59+G60+G61</f>
        <v>6.8100000000000005</v>
      </c>
      <c r="H69" s="233">
        <f t="shared" si="6"/>
        <v>-0.23569023569023562</v>
      </c>
      <c r="I69" s="224">
        <f>I56+I57+I58+I59+I60+I61</f>
        <v>8.91</v>
      </c>
      <c r="J69" s="233">
        <f t="shared" si="6"/>
        <v>0.22727272727272751</v>
      </c>
      <c r="K69" s="224">
        <f>K56+K57+K58+K59+K60+K61</f>
        <v>7.2599999999999989</v>
      </c>
      <c r="L69" s="197"/>
      <c r="M69" s="209"/>
      <c r="N69" s="14"/>
      <c r="O69" s="21"/>
      <c r="P69" s="117"/>
      <c r="Q69" s="21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 s="11" customFormat="1" ht="10.199999999999999">
      <c r="A70" s="210" t="s">
        <v>125</v>
      </c>
      <c r="B70" s="224">
        <f>B62+B63+B64+B65</f>
        <v>0.15999999999999998</v>
      </c>
      <c r="C70" s="233">
        <f t="shared" si="5"/>
        <v>-0.80246913580246915</v>
      </c>
      <c r="D70" s="224">
        <f>D62+D63+D64+D65</f>
        <v>0.81</v>
      </c>
      <c r="E70" s="350">
        <f>E62+E63+E64+E65</f>
        <v>1.9</v>
      </c>
      <c r="F70" s="515">
        <f t="shared" si="6"/>
        <v>-0.69055374592833874</v>
      </c>
      <c r="G70" s="224">
        <f>G62+G63+G64+G65</f>
        <v>6.14</v>
      </c>
      <c r="H70" s="233">
        <f t="shared" si="6"/>
        <v>6.3975903614457819</v>
      </c>
      <c r="I70" s="224">
        <f>I62+I63+I64+I65</f>
        <v>0.83000000000000007</v>
      </c>
      <c r="J70" s="233">
        <f t="shared" si="6"/>
        <v>0.31746031746031766</v>
      </c>
      <c r="K70" s="224">
        <f>K62+K63+K64+K65</f>
        <v>0.63</v>
      </c>
      <c r="L70" s="197"/>
      <c r="M70" s="209"/>
      <c r="N70" s="14"/>
      <c r="O70" s="21"/>
      <c r="P70" s="117"/>
      <c r="Q70" s="21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s="107" customFormat="1" ht="10.199999999999999" customHeight="1">
      <c r="A71" s="216" t="s">
        <v>129</v>
      </c>
      <c r="B71" s="227">
        <f>SUM(B66:B70)</f>
        <v>36.059999999999995</v>
      </c>
      <c r="C71" s="234">
        <f t="shared" si="5"/>
        <v>0.17612524461839518</v>
      </c>
      <c r="D71" s="227">
        <f>SUM(D66:D70)</f>
        <v>30.66</v>
      </c>
      <c r="E71" s="482">
        <f>SUM(E66:E70)</f>
        <v>160.25</v>
      </c>
      <c r="F71" s="516">
        <f t="shared" si="6"/>
        <v>0.17727005583308841</v>
      </c>
      <c r="G71" s="227">
        <f>SUM(G66:G70)</f>
        <v>136.12</v>
      </c>
      <c r="H71" s="234">
        <f t="shared" si="6"/>
        <v>2.6468592112208755E-2</v>
      </c>
      <c r="I71" s="227">
        <f>SUM(I66:I70)</f>
        <v>132.61000000000001</v>
      </c>
      <c r="J71" s="234">
        <f t="shared" si="6"/>
        <v>-2.6286805198619478E-2</v>
      </c>
      <c r="K71" s="227">
        <f>SUM(K66:K70)</f>
        <v>136.19</v>
      </c>
      <c r="L71" s="189">
        <f>(K71-M71)/M71</f>
        <v>9.1003765120563962E-2</v>
      </c>
      <c r="M71" s="227">
        <v>124.83</v>
      </c>
    </row>
    <row r="72" spans="1:28" ht="10.199999999999999" customHeight="1">
      <c r="A72" s="205"/>
      <c r="B72" s="210"/>
      <c r="C72" s="197"/>
      <c r="D72" s="210"/>
      <c r="E72" s="210"/>
      <c r="F72" s="210"/>
      <c r="G72" s="210"/>
      <c r="H72" s="197"/>
      <c r="I72" s="210"/>
      <c r="J72" s="195"/>
      <c r="K72" s="210"/>
      <c r="L72" s="195"/>
      <c r="M72" s="210"/>
    </row>
    <row r="73" spans="1:28" ht="10.199999999999999" customHeight="1">
      <c r="A73" s="228" t="s">
        <v>4</v>
      </c>
      <c r="B73" s="229"/>
      <c r="C73" s="197"/>
      <c r="D73" s="229"/>
      <c r="E73" s="229"/>
      <c r="F73" s="229"/>
      <c r="G73" s="229"/>
      <c r="H73" s="197"/>
      <c r="I73" s="229"/>
      <c r="J73" s="195"/>
      <c r="K73" s="229"/>
      <c r="L73" s="195"/>
      <c r="M73" s="229"/>
    </row>
    <row r="74" spans="1:28" s="3" customFormat="1" ht="10.199999999999999">
      <c r="A74" s="205" t="s">
        <v>102</v>
      </c>
      <c r="B74" s="509">
        <v>5.65</v>
      </c>
      <c r="C74" s="233">
        <f t="shared" ref="C74:C101" si="7">IF((+B74/D74)&lt;0,"n.m.",IF(B74&lt;0,(+B74/D74-1)*-1,(+B74/D74-1)))</f>
        <v>0.54794520547945225</v>
      </c>
      <c r="D74" s="509">
        <v>3.65</v>
      </c>
      <c r="E74" s="509">
        <v>6.03</v>
      </c>
      <c r="F74" s="515">
        <f t="shared" ref="F74:J101" si="8">IF((+E74/G74)&lt;0,"n.m.",IF(E74&lt;0,(+E74/G74-1)*-1,(+E74/G74-1)))</f>
        <v>0.21084337349397586</v>
      </c>
      <c r="G74" s="223">
        <v>4.9800000000000004</v>
      </c>
      <c r="H74" s="233">
        <f t="shared" si="8"/>
        <v>-0.1324041811846689</v>
      </c>
      <c r="I74" s="223">
        <v>5.74</v>
      </c>
      <c r="J74" s="233">
        <f t="shared" si="8"/>
        <v>-0.28960396039603964</v>
      </c>
      <c r="K74" s="223">
        <v>8.08</v>
      </c>
      <c r="L74" s="197"/>
      <c r="M74" s="207"/>
      <c r="N74" s="14"/>
      <c r="O74" s="33"/>
      <c r="P74" s="117"/>
      <c r="Q74" s="76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 s="3" customFormat="1" ht="10.199999999999999">
      <c r="A75" s="205" t="s">
        <v>103</v>
      </c>
      <c r="B75" s="509">
        <v>0.71</v>
      </c>
      <c r="C75" s="233">
        <f t="shared" si="7"/>
        <v>9.1428571428571406</v>
      </c>
      <c r="D75" s="509">
        <v>7.0000000000000007E-2</v>
      </c>
      <c r="E75" s="509">
        <v>0.57999999999999996</v>
      </c>
      <c r="F75" s="515">
        <f t="shared" si="8"/>
        <v>3.1428571428571423</v>
      </c>
      <c r="G75" s="223">
        <v>0.14000000000000001</v>
      </c>
      <c r="H75" s="233">
        <f t="shared" si="8"/>
        <v>-0.77777777777777779</v>
      </c>
      <c r="I75" s="223">
        <v>0.63</v>
      </c>
      <c r="J75" s="233">
        <f t="shared" si="8"/>
        <v>-0.50393700787401574</v>
      </c>
      <c r="K75" s="223">
        <v>1.27</v>
      </c>
      <c r="L75" s="197"/>
      <c r="M75" s="207"/>
      <c r="N75" s="14"/>
      <c r="O75" s="33"/>
      <c r="P75" s="117"/>
      <c r="Q75" s="76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s="3" customFormat="1" ht="10.199999999999999">
      <c r="A76" s="205" t="s">
        <v>104</v>
      </c>
      <c r="B76" s="509">
        <v>0.02</v>
      </c>
      <c r="C76" s="233">
        <f t="shared" si="7"/>
        <v>0</v>
      </c>
      <c r="D76" s="509">
        <v>0.02</v>
      </c>
      <c r="E76" s="509">
        <v>0.01</v>
      </c>
      <c r="F76" s="515">
        <f t="shared" si="8"/>
        <v>-0.967741935483871</v>
      </c>
      <c r="G76" s="223">
        <v>0.31</v>
      </c>
      <c r="H76" s="233">
        <f t="shared" si="8"/>
        <v>-0.22500000000000009</v>
      </c>
      <c r="I76" s="223">
        <v>0.4</v>
      </c>
      <c r="J76" s="233">
        <f t="shared" si="8"/>
        <v>0.29032258064516148</v>
      </c>
      <c r="K76" s="223">
        <v>0.31</v>
      </c>
      <c r="L76" s="197"/>
      <c r="M76" s="207"/>
      <c r="N76" s="14"/>
      <c r="O76" s="33"/>
      <c r="P76" s="117"/>
      <c r="Q76" s="76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 s="3" customFormat="1" ht="10.199999999999999">
      <c r="A77" s="205" t="s">
        <v>105</v>
      </c>
      <c r="B77" s="509">
        <v>0.02</v>
      </c>
      <c r="C77" s="233">
        <f t="shared" si="7"/>
        <v>1</v>
      </c>
      <c r="D77" s="509">
        <v>0.01</v>
      </c>
      <c r="E77" s="509">
        <v>0.51</v>
      </c>
      <c r="F77" s="515">
        <f t="shared" si="8"/>
        <v>0.8214285714285714</v>
      </c>
      <c r="G77" s="223">
        <v>0.28000000000000003</v>
      </c>
      <c r="H77" s="233">
        <f t="shared" si="8"/>
        <v>-0.29999999999999993</v>
      </c>
      <c r="I77" s="223">
        <v>0.4</v>
      </c>
      <c r="J77" s="233">
        <f t="shared" si="8"/>
        <v>-2.4390243902438935E-2</v>
      </c>
      <c r="K77" s="223">
        <v>0.41</v>
      </c>
      <c r="L77" s="197"/>
      <c r="M77" s="207"/>
      <c r="N77" s="14"/>
      <c r="O77" s="33"/>
      <c r="P77" s="117"/>
      <c r="Q77" s="76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 s="11" customFormat="1" ht="10.199999999999999">
      <c r="A78" s="205" t="s">
        <v>106</v>
      </c>
      <c r="B78" s="509">
        <v>0</v>
      </c>
      <c r="C78" s="233"/>
      <c r="D78" s="509">
        <v>0</v>
      </c>
      <c r="E78" s="509">
        <v>0</v>
      </c>
      <c r="F78" s="515"/>
      <c r="G78" s="223">
        <v>0</v>
      </c>
      <c r="H78" s="233"/>
      <c r="I78" s="223">
        <v>0</v>
      </c>
      <c r="J78" s="233"/>
      <c r="K78" s="223">
        <v>0</v>
      </c>
      <c r="L78" s="197"/>
      <c r="M78" s="207"/>
      <c r="N78" s="14"/>
      <c r="O78" s="33"/>
      <c r="P78" s="117"/>
      <c r="Q78" s="76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s="11" customFormat="1" ht="10.199999999999999">
      <c r="A79" s="205" t="s">
        <v>154</v>
      </c>
      <c r="B79" s="509">
        <v>0</v>
      </c>
      <c r="C79" s="233"/>
      <c r="D79" s="509">
        <v>0</v>
      </c>
      <c r="E79" s="509">
        <v>0</v>
      </c>
      <c r="F79" s="515"/>
      <c r="G79" s="223">
        <v>0</v>
      </c>
      <c r="H79" s="233"/>
      <c r="I79" s="223">
        <v>0</v>
      </c>
      <c r="J79" s="233"/>
      <c r="K79" s="223">
        <v>0</v>
      </c>
      <c r="L79" s="197"/>
      <c r="M79" s="207"/>
      <c r="N79" s="14"/>
      <c r="O79" s="33"/>
      <c r="P79" s="117"/>
      <c r="Q79" s="76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s="11" customFormat="1" ht="10.199999999999999">
      <c r="A80" s="205" t="s">
        <v>107</v>
      </c>
      <c r="B80" s="509">
        <v>0.22</v>
      </c>
      <c r="C80" s="233">
        <f t="shared" si="7"/>
        <v>21</v>
      </c>
      <c r="D80" s="509">
        <v>0.01</v>
      </c>
      <c r="E80" s="509">
        <v>0.01</v>
      </c>
      <c r="F80" s="515">
        <f t="shared" si="8"/>
        <v>-0.875</v>
      </c>
      <c r="G80" s="223">
        <v>0.08</v>
      </c>
      <c r="H80" s="233">
        <f t="shared" si="8"/>
        <v>-0.38461538461538458</v>
      </c>
      <c r="I80" s="223">
        <v>0.13</v>
      </c>
      <c r="J80" s="233">
        <f t="shared" si="8"/>
        <v>0.30000000000000004</v>
      </c>
      <c r="K80" s="223">
        <v>0.1</v>
      </c>
      <c r="L80" s="197"/>
      <c r="M80" s="207"/>
      <c r="N80" s="14"/>
      <c r="O80" s="33"/>
      <c r="P80" s="117"/>
      <c r="Q80" s="76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s="11" customFormat="1" ht="10.199999999999999">
      <c r="A81" s="205" t="s">
        <v>108</v>
      </c>
      <c r="B81" s="509">
        <v>0.01</v>
      </c>
      <c r="C81" s="233">
        <f t="shared" si="7"/>
        <v>-0.5</v>
      </c>
      <c r="D81" s="509">
        <v>0.02</v>
      </c>
      <c r="E81" s="509">
        <v>0.01</v>
      </c>
      <c r="F81" s="515">
        <f t="shared" si="8"/>
        <v>-0.5</v>
      </c>
      <c r="G81" s="223">
        <v>0.02</v>
      </c>
      <c r="H81" s="233">
        <f t="shared" si="8"/>
        <v>1</v>
      </c>
      <c r="I81" s="223">
        <v>0.01</v>
      </c>
      <c r="J81" s="233">
        <f t="shared" si="8"/>
        <v>0</v>
      </c>
      <c r="K81" s="223">
        <v>0.01</v>
      </c>
      <c r="L81" s="197"/>
      <c r="M81" s="207"/>
      <c r="N81" s="14"/>
      <c r="O81" s="33"/>
      <c r="P81" s="117"/>
      <c r="Q81" s="76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s="11" customFormat="1" ht="10.199999999999999">
      <c r="A82" s="205" t="s">
        <v>109</v>
      </c>
      <c r="B82" s="509">
        <v>0</v>
      </c>
      <c r="C82" s="233"/>
      <c r="D82" s="509">
        <v>0</v>
      </c>
      <c r="E82" s="509">
        <v>0</v>
      </c>
      <c r="F82" s="515"/>
      <c r="G82" s="223">
        <v>0</v>
      </c>
      <c r="H82" s="233">
        <f t="shared" si="8"/>
        <v>-1</v>
      </c>
      <c r="I82" s="223">
        <v>0.01</v>
      </c>
      <c r="J82" s="233"/>
      <c r="K82" s="223">
        <v>0</v>
      </c>
      <c r="L82" s="197"/>
      <c r="M82" s="207"/>
      <c r="N82" s="14"/>
      <c r="O82" s="33"/>
      <c r="P82" s="117"/>
      <c r="Q82" s="76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s="11" customFormat="1" ht="10.199999999999999">
      <c r="A83" s="205" t="s">
        <v>110</v>
      </c>
      <c r="B83" s="509">
        <v>0</v>
      </c>
      <c r="C83" s="233"/>
      <c r="D83" s="509">
        <v>0</v>
      </c>
      <c r="E83" s="509">
        <v>0</v>
      </c>
      <c r="F83" s="515"/>
      <c r="G83" s="223">
        <v>0</v>
      </c>
      <c r="H83" s="233"/>
      <c r="I83" s="223">
        <v>0</v>
      </c>
      <c r="J83" s="233"/>
      <c r="K83" s="223">
        <v>0</v>
      </c>
      <c r="L83" s="197"/>
      <c r="M83" s="207"/>
      <c r="N83" s="14"/>
      <c r="O83" s="33"/>
      <c r="P83" s="117"/>
      <c r="Q83" s="76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s="11" customFormat="1" ht="10.199999999999999">
      <c r="A84" s="205" t="s">
        <v>111</v>
      </c>
      <c r="B84" s="509">
        <v>0</v>
      </c>
      <c r="C84" s="233"/>
      <c r="D84" s="509">
        <v>0</v>
      </c>
      <c r="E84" s="509">
        <v>0</v>
      </c>
      <c r="F84" s="515"/>
      <c r="G84" s="223">
        <v>0</v>
      </c>
      <c r="H84" s="233"/>
      <c r="I84" s="223">
        <v>0</v>
      </c>
      <c r="J84" s="233"/>
      <c r="K84" s="223">
        <v>0</v>
      </c>
      <c r="L84" s="197"/>
      <c r="M84" s="207"/>
      <c r="N84" s="14"/>
      <c r="O84" s="33"/>
      <c r="P84" s="117"/>
      <c r="Q84" s="76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s="11" customFormat="1" ht="10.199999999999999">
      <c r="A85" s="205" t="s">
        <v>112</v>
      </c>
      <c r="B85" s="509">
        <v>0</v>
      </c>
      <c r="C85" s="233"/>
      <c r="D85" s="509">
        <v>0</v>
      </c>
      <c r="E85" s="509">
        <v>0</v>
      </c>
      <c r="F85" s="515"/>
      <c r="G85" s="223">
        <v>0</v>
      </c>
      <c r="H85" s="233"/>
      <c r="I85" s="223">
        <v>0</v>
      </c>
      <c r="J85" s="233"/>
      <c r="K85" s="223">
        <v>0</v>
      </c>
      <c r="L85" s="197"/>
      <c r="M85" s="207"/>
      <c r="N85" s="14"/>
      <c r="O85" s="33"/>
      <c r="P85" s="117"/>
      <c r="Q85" s="76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s="11" customFormat="1" ht="10.199999999999999">
      <c r="A86" s="205" t="s">
        <v>113</v>
      </c>
      <c r="B86" s="509">
        <v>0</v>
      </c>
      <c r="C86" s="515">
        <f t="shared" si="7"/>
        <v>-1</v>
      </c>
      <c r="D86" s="509">
        <v>0.12</v>
      </c>
      <c r="E86" s="509">
        <v>0</v>
      </c>
      <c r="F86" s="515">
        <f t="shared" si="8"/>
        <v>-1</v>
      </c>
      <c r="G86" s="223">
        <v>0.14000000000000001</v>
      </c>
      <c r="H86" s="233"/>
      <c r="I86" s="223">
        <v>0</v>
      </c>
      <c r="J86" s="233">
        <f t="shared" si="8"/>
        <v>-1</v>
      </c>
      <c r="K86" s="223">
        <v>0.26</v>
      </c>
      <c r="L86" s="197"/>
      <c r="M86" s="207"/>
      <c r="N86" s="14"/>
      <c r="O86" s="33"/>
      <c r="P86" s="117"/>
      <c r="Q86" s="76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s="11" customFormat="1" ht="10.199999999999999">
      <c r="A87" s="205" t="s">
        <v>114</v>
      </c>
      <c r="B87" s="350">
        <v>0.01</v>
      </c>
      <c r="C87" s="515"/>
      <c r="D87" s="350">
        <v>0</v>
      </c>
      <c r="E87" s="510">
        <v>0</v>
      </c>
      <c r="F87" s="515"/>
      <c r="G87" s="224">
        <v>0</v>
      </c>
      <c r="H87" s="233"/>
      <c r="I87" s="224">
        <v>0</v>
      </c>
      <c r="J87" s="233"/>
      <c r="K87" s="224">
        <v>0</v>
      </c>
      <c r="L87" s="197"/>
      <c r="M87" s="209"/>
      <c r="N87" s="14"/>
      <c r="O87" s="33"/>
      <c r="P87" s="117"/>
      <c r="Q87" s="76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s="11" customFormat="1" ht="10.199999999999999">
      <c r="A88" s="205" t="s">
        <v>115</v>
      </c>
      <c r="B88" s="509">
        <v>0.05</v>
      </c>
      <c r="C88" s="515"/>
      <c r="D88" s="509">
        <v>0</v>
      </c>
      <c r="E88" s="509">
        <v>0.11</v>
      </c>
      <c r="F88" s="515">
        <f t="shared" si="8"/>
        <v>10</v>
      </c>
      <c r="G88" s="223">
        <v>0.01</v>
      </c>
      <c r="H88" s="233">
        <f t="shared" si="8"/>
        <v>-0.95454545454545459</v>
      </c>
      <c r="I88" s="223">
        <v>0.22</v>
      </c>
      <c r="J88" s="233">
        <f t="shared" si="8"/>
        <v>0.69230769230769229</v>
      </c>
      <c r="K88" s="223">
        <v>0.13</v>
      </c>
      <c r="L88" s="197"/>
      <c r="M88" s="207"/>
      <c r="N88" s="14"/>
      <c r="O88" s="33"/>
      <c r="P88" s="117"/>
      <c r="Q88" s="76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s="3" customFormat="1" ht="10.199999999999999">
      <c r="A89" s="205" t="s">
        <v>116</v>
      </c>
      <c r="B89" s="509">
        <v>0</v>
      </c>
      <c r="C89" s="515"/>
      <c r="D89" s="509">
        <v>0</v>
      </c>
      <c r="E89" s="509">
        <v>0</v>
      </c>
      <c r="F89" s="515"/>
      <c r="G89" s="223">
        <v>0</v>
      </c>
      <c r="H89" s="233"/>
      <c r="I89" s="223">
        <v>0</v>
      </c>
      <c r="J89" s="233"/>
      <c r="K89" s="223">
        <v>0</v>
      </c>
      <c r="L89" s="197"/>
      <c r="M89" s="207"/>
      <c r="N89" s="14"/>
      <c r="O89" s="33"/>
      <c r="P89" s="117"/>
      <c r="Q89" s="76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 s="11" customFormat="1" ht="10.199999999999999">
      <c r="A90" s="205" t="s">
        <v>117</v>
      </c>
      <c r="B90" s="509">
        <v>0</v>
      </c>
      <c r="C90" s="515"/>
      <c r="D90" s="509">
        <v>0</v>
      </c>
      <c r="E90" s="509">
        <v>0</v>
      </c>
      <c r="F90" s="515"/>
      <c r="G90" s="223">
        <v>0</v>
      </c>
      <c r="H90" s="233"/>
      <c r="I90" s="223">
        <v>0</v>
      </c>
      <c r="J90" s="233"/>
      <c r="K90" s="223">
        <v>0</v>
      </c>
      <c r="L90" s="197"/>
      <c r="M90" s="207"/>
      <c r="N90" s="14"/>
      <c r="O90" s="33"/>
      <c r="P90" s="117"/>
      <c r="Q90" s="76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s="11" customFormat="1" ht="10.199999999999999">
      <c r="A91" s="205" t="s">
        <v>118</v>
      </c>
      <c r="B91" s="509">
        <v>0</v>
      </c>
      <c r="C91" s="515"/>
      <c r="D91" s="509">
        <v>0</v>
      </c>
      <c r="E91" s="509">
        <v>0</v>
      </c>
      <c r="F91" s="515"/>
      <c r="G91" s="223">
        <v>0</v>
      </c>
      <c r="H91" s="233"/>
      <c r="I91" s="223">
        <v>0</v>
      </c>
      <c r="J91" s="233"/>
      <c r="K91" s="223">
        <v>0</v>
      </c>
      <c r="L91" s="197"/>
      <c r="M91" s="207"/>
      <c r="N91" s="14"/>
      <c r="O91" s="33"/>
      <c r="P91" s="117"/>
      <c r="Q91" s="76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s="11" customFormat="1" ht="10.199999999999999">
      <c r="A92" s="205" t="s">
        <v>119</v>
      </c>
      <c r="B92" s="509">
        <v>0.41</v>
      </c>
      <c r="C92" s="515">
        <f t="shared" si="7"/>
        <v>5.12820512820511E-2</v>
      </c>
      <c r="D92" s="509">
        <v>0.39</v>
      </c>
      <c r="E92" s="509">
        <v>0.49</v>
      </c>
      <c r="F92" s="515">
        <f t="shared" si="8"/>
        <v>0.19512195121951215</v>
      </c>
      <c r="G92" s="223">
        <v>0.41</v>
      </c>
      <c r="H92" s="233"/>
      <c r="I92" s="223">
        <v>0</v>
      </c>
      <c r="J92" s="233"/>
      <c r="K92" s="223">
        <v>0</v>
      </c>
      <c r="L92" s="197"/>
      <c r="M92" s="207"/>
      <c r="N92" s="14"/>
      <c r="O92" s="33"/>
      <c r="P92" s="117"/>
      <c r="Q92" s="76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s="11" customFormat="1" ht="10.199999999999999">
      <c r="A93" s="205" t="s">
        <v>120</v>
      </c>
      <c r="B93" s="509">
        <v>0.02</v>
      </c>
      <c r="C93" s="515">
        <f t="shared" si="7"/>
        <v>1</v>
      </c>
      <c r="D93" s="509">
        <v>0.01</v>
      </c>
      <c r="E93" s="509">
        <v>0</v>
      </c>
      <c r="F93" s="515">
        <f t="shared" si="8"/>
        <v>-1</v>
      </c>
      <c r="G93" s="223">
        <v>0.08</v>
      </c>
      <c r="H93" s="233"/>
      <c r="I93" s="223">
        <v>0</v>
      </c>
      <c r="J93" s="233">
        <f t="shared" si="8"/>
        <v>-1</v>
      </c>
      <c r="K93" s="223">
        <v>0.05</v>
      </c>
      <c r="L93" s="211"/>
      <c r="M93" s="207"/>
      <c r="N93" s="37"/>
      <c r="O93" s="38"/>
      <c r="P93" s="122"/>
      <c r="Q93" s="76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s="11" customFormat="1" ht="10.199999999999999">
      <c r="A94" s="205" t="s">
        <v>121</v>
      </c>
      <c r="B94" s="511">
        <v>0</v>
      </c>
      <c r="C94" s="515"/>
      <c r="D94" s="511">
        <v>0</v>
      </c>
      <c r="E94" s="511">
        <v>0</v>
      </c>
      <c r="F94" s="515"/>
      <c r="G94" s="225">
        <v>0</v>
      </c>
      <c r="H94" s="233"/>
      <c r="I94" s="225">
        <v>0</v>
      </c>
      <c r="J94" s="233"/>
      <c r="K94" s="225">
        <v>0</v>
      </c>
      <c r="L94" s="197"/>
      <c r="M94" s="213"/>
      <c r="N94" s="13"/>
      <c r="O94" s="33"/>
      <c r="P94" s="13"/>
      <c r="Q94" s="33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s="11" customFormat="1" ht="10.199999999999999">
      <c r="A95" s="205" t="s">
        <v>122</v>
      </c>
      <c r="B95" s="511">
        <v>0</v>
      </c>
      <c r="C95" s="515">
        <f t="shared" si="7"/>
        <v>-1</v>
      </c>
      <c r="D95" s="511">
        <v>0.08</v>
      </c>
      <c r="E95" s="511">
        <v>0.05</v>
      </c>
      <c r="F95" s="515"/>
      <c r="G95" s="225">
        <v>0</v>
      </c>
      <c r="H95" s="233"/>
      <c r="I95" s="225">
        <v>0</v>
      </c>
      <c r="J95" s="233">
        <f t="shared" si="8"/>
        <v>-1</v>
      </c>
      <c r="K95" s="225">
        <v>0.04</v>
      </c>
      <c r="L95" s="197"/>
      <c r="M95" s="213"/>
      <c r="N95" s="13"/>
      <c r="O95" s="33"/>
      <c r="P95" s="13"/>
      <c r="Q95" s="33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s="11" customFormat="1" ht="10.199999999999999">
      <c r="A96" s="210" t="s">
        <v>102</v>
      </c>
      <c r="B96" s="226">
        <f>B74</f>
        <v>5.65</v>
      </c>
      <c r="C96" s="233">
        <f t="shared" si="7"/>
        <v>0.54794520547945225</v>
      </c>
      <c r="D96" s="226">
        <f>D74</f>
        <v>3.65</v>
      </c>
      <c r="E96" s="351">
        <f>E74</f>
        <v>6.03</v>
      </c>
      <c r="F96" s="515">
        <f t="shared" si="8"/>
        <v>0.21084337349397586</v>
      </c>
      <c r="G96" s="226">
        <f>G74</f>
        <v>4.9800000000000004</v>
      </c>
      <c r="H96" s="233">
        <f t="shared" si="8"/>
        <v>-0.1324041811846689</v>
      </c>
      <c r="I96" s="226">
        <f>I74</f>
        <v>5.74</v>
      </c>
      <c r="J96" s="233">
        <f t="shared" si="8"/>
        <v>-0.28960396039603964</v>
      </c>
      <c r="K96" s="226">
        <f>K74</f>
        <v>8.08</v>
      </c>
      <c r="L96" s="197"/>
      <c r="M96" s="215"/>
      <c r="N96" s="14"/>
      <c r="O96" s="33"/>
      <c r="P96" s="117"/>
      <c r="Q96" s="33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s="11" customFormat="1" ht="10.199999999999999">
      <c r="A97" s="210" t="s">
        <v>103</v>
      </c>
      <c r="B97" s="226">
        <f>B75</f>
        <v>0.71</v>
      </c>
      <c r="C97" s="233">
        <f t="shared" si="7"/>
        <v>9.1428571428571406</v>
      </c>
      <c r="D97" s="226">
        <f>D75</f>
        <v>7.0000000000000007E-2</v>
      </c>
      <c r="E97" s="351">
        <f>E75</f>
        <v>0.57999999999999996</v>
      </c>
      <c r="F97" s="515">
        <f t="shared" si="8"/>
        <v>3.1428571428571423</v>
      </c>
      <c r="G97" s="226">
        <f>G75</f>
        <v>0.14000000000000001</v>
      </c>
      <c r="H97" s="233">
        <f t="shared" si="8"/>
        <v>-0.77777777777777779</v>
      </c>
      <c r="I97" s="226">
        <f>I75</f>
        <v>0.63</v>
      </c>
      <c r="J97" s="233">
        <f t="shared" si="8"/>
        <v>-0.50393700787401574</v>
      </c>
      <c r="K97" s="226">
        <f>K75</f>
        <v>1.27</v>
      </c>
      <c r="L97" s="197"/>
      <c r="M97" s="215"/>
      <c r="N97" s="14"/>
      <c r="O97" s="33"/>
      <c r="P97" s="117"/>
      <c r="Q97" s="33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s="3" customFormat="1" ht="10.199999999999999">
      <c r="A98" s="210" t="s">
        <v>123</v>
      </c>
      <c r="B98" s="224">
        <f>B76+B77+B78+B79+B80+B81+B82+B83+B84+B85</f>
        <v>0.27</v>
      </c>
      <c r="C98" s="233">
        <f t="shared" si="7"/>
        <v>3.5000000000000009</v>
      </c>
      <c r="D98" s="224">
        <f>D76+D77+D78+D79+D80+D81+D82+D83+D84+D85</f>
        <v>0.06</v>
      </c>
      <c r="E98" s="350">
        <f>E76+E77+E78+E79+E80+E81+E82+E83+E84+E85</f>
        <v>0.54</v>
      </c>
      <c r="F98" s="515">
        <f t="shared" si="8"/>
        <v>-0.21739130434782605</v>
      </c>
      <c r="G98" s="224">
        <f>G76+G77+G78+G79+G80+G81+G82+G83+G84+G85</f>
        <v>0.69000000000000006</v>
      </c>
      <c r="H98" s="233">
        <f t="shared" si="8"/>
        <v>-0.27368421052631575</v>
      </c>
      <c r="I98" s="224">
        <f>I76+I77+I78+I79+I80+I81+I82+I83+I84+I85</f>
        <v>0.95000000000000007</v>
      </c>
      <c r="J98" s="233">
        <f t="shared" si="8"/>
        <v>0.14457831325301229</v>
      </c>
      <c r="K98" s="224">
        <f>K76+K77+K78+K79+K80+K81+K82+K83+K84+K85</f>
        <v>0.83</v>
      </c>
      <c r="L98" s="197"/>
      <c r="M98" s="209"/>
      <c r="N98" s="14"/>
      <c r="O98" s="21"/>
      <c r="P98" s="117"/>
      <c r="Q98" s="21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 s="3" customFormat="1" ht="10.199999999999999">
      <c r="A99" s="210" t="s">
        <v>124</v>
      </c>
      <c r="B99" s="224">
        <f>B86+B87+B88+B89+B90+B91</f>
        <v>6.0000000000000005E-2</v>
      </c>
      <c r="C99" s="233">
        <f t="shared" si="7"/>
        <v>-0.49999999999999989</v>
      </c>
      <c r="D99" s="224">
        <f>D86+D87+D88+D89+D90+D91</f>
        <v>0.12</v>
      </c>
      <c r="E99" s="350">
        <f>E86+E87+E88+E89+E90+E91</f>
        <v>0.11</v>
      </c>
      <c r="F99" s="515">
        <f t="shared" si="8"/>
        <v>-0.26666666666666672</v>
      </c>
      <c r="G99" s="224">
        <f>G86+G87+G88+G89+G90+G91</f>
        <v>0.15000000000000002</v>
      </c>
      <c r="H99" s="256">
        <f t="shared" si="8"/>
        <v>-0.31818181818181812</v>
      </c>
      <c r="I99" s="255">
        <f>I86+I87+I88+I89+I90+I91</f>
        <v>0.22</v>
      </c>
      <c r="J99" s="256">
        <f t="shared" si="8"/>
        <v>-0.4358974358974359</v>
      </c>
      <c r="K99" s="255">
        <f>K86+K87+K88+K89+K90+K91</f>
        <v>0.39</v>
      </c>
      <c r="L99" s="197"/>
      <c r="M99" s="209"/>
      <c r="N99" s="14"/>
      <c r="O99" s="21"/>
      <c r="P99" s="117"/>
      <c r="Q99" s="21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 s="11" customFormat="1" ht="10.199999999999999">
      <c r="A100" s="210" t="s">
        <v>125</v>
      </c>
      <c r="B100" s="224">
        <f>B92+B93+B94+B95</f>
        <v>0.43</v>
      </c>
      <c r="C100" s="515">
        <f t="shared" si="7"/>
        <v>-0.10416666666666674</v>
      </c>
      <c r="D100" s="556">
        <f>D92+D93+D94+D95</f>
        <v>0.48000000000000004</v>
      </c>
      <c r="E100" s="556">
        <f>E92+E93+E94+E95</f>
        <v>0.54</v>
      </c>
      <c r="F100" s="515">
        <f t="shared" si="8"/>
        <v>0.10204081632653073</v>
      </c>
      <c r="G100" s="556">
        <f>G92+G93+G94+G95</f>
        <v>0.49</v>
      </c>
      <c r="H100" s="557"/>
      <c r="I100" s="558">
        <f>I92+I93+I94+I95</f>
        <v>0</v>
      </c>
      <c r="J100" s="557">
        <f t="shared" si="8"/>
        <v>-1</v>
      </c>
      <c r="K100" s="558">
        <f>K92+K93+K94+K95</f>
        <v>0.09</v>
      </c>
      <c r="L100" s="211"/>
      <c r="M100" s="559"/>
      <c r="N100" s="14"/>
      <c r="O100" s="21"/>
      <c r="P100" s="117"/>
      <c r="Q100" s="21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s="107" customFormat="1" ht="10.199999999999999" customHeight="1">
      <c r="A101" s="187" t="s">
        <v>130</v>
      </c>
      <c r="B101" s="188">
        <f>SUM(B96:B100)</f>
        <v>7.12</v>
      </c>
      <c r="C101" s="257">
        <f t="shared" si="7"/>
        <v>0.62557077625570789</v>
      </c>
      <c r="D101" s="506">
        <f>SUM(D96:D100)</f>
        <v>4.38</v>
      </c>
      <c r="E101" s="506">
        <f>SUM(E96:E100)</f>
        <v>7.8000000000000007</v>
      </c>
      <c r="F101" s="257">
        <f t="shared" si="8"/>
        <v>0.20930232558139528</v>
      </c>
      <c r="G101" s="506">
        <f>SUM(G96:G100)</f>
        <v>6.4500000000000011</v>
      </c>
      <c r="H101" s="257">
        <f t="shared" si="8"/>
        <v>-0.14456233421750653</v>
      </c>
      <c r="I101" s="506">
        <f>SUM(I96:I100)</f>
        <v>7.54</v>
      </c>
      <c r="J101" s="257">
        <f t="shared" si="8"/>
        <v>-0.29268292682926833</v>
      </c>
      <c r="K101" s="506">
        <f>SUM(K96:K100)</f>
        <v>10.66</v>
      </c>
      <c r="L101" s="189">
        <f>(K101-M101)/M101</f>
        <v>-8.8109495295124129E-2</v>
      </c>
      <c r="M101" s="506">
        <v>11.690000000000001</v>
      </c>
    </row>
    <row r="102" spans="1:28" ht="12" customHeight="1">
      <c r="C102" s="203"/>
    </row>
  </sheetData>
  <mergeCells count="1">
    <mergeCell ref="A9:A10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7" fitToHeight="0" orientation="landscape" r:id="rId1"/>
  <headerFooter alignWithMargins="0">
    <oddHeader>&amp;A</oddHeader>
  </headerFooter>
  <rowBreaks count="2" manualBreakCount="2">
    <brk id="42" max="12" man="1"/>
    <brk id="7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11</vt:i4>
      </vt:variant>
    </vt:vector>
  </HeadingPairs>
  <TitlesOfParts>
    <vt:vector size="16" baseType="lpstr">
      <vt:lpstr>Group</vt:lpstr>
      <vt:lpstr>North + West</vt:lpstr>
      <vt:lpstr>South + East</vt:lpstr>
      <vt:lpstr>International + Special Divisio</vt:lpstr>
      <vt:lpstr>Other</vt:lpstr>
      <vt:lpstr>Group!Druckbereich</vt:lpstr>
      <vt:lpstr>'International + Special Divisio'!Druckbereich</vt:lpstr>
      <vt:lpstr>'North + West'!Druckbereich</vt:lpstr>
      <vt:lpstr>Other!Druckbereich</vt:lpstr>
      <vt:lpstr>'South + East'!Druckbereich</vt:lpstr>
      <vt:lpstr>Group!Drucktitel</vt:lpstr>
      <vt:lpstr>'International + Special Divisio'!Drucktitel</vt:lpstr>
      <vt:lpstr>'North + West'!Drucktitel</vt:lpstr>
      <vt:lpstr>Other!Drucktitel</vt:lpstr>
      <vt:lpstr>'South + East'!Drucktitel</vt:lpstr>
      <vt:lpstr>Prozentrundung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Diana Neumüller-Klein</cp:lastModifiedBy>
  <cp:lastPrinted>2017-05-30T08:45:14Z</cp:lastPrinted>
  <dcterms:created xsi:type="dcterms:W3CDTF">2015-02-10T08:20:45Z</dcterms:created>
  <dcterms:modified xsi:type="dcterms:W3CDTF">2017-05-30T12:35:54Z</dcterms:modified>
</cp:coreProperties>
</file>