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TVIEDC9\14\KOKO\Konzernkommunikation\Investor Relations\Berichte\GB Strabag\GB\GB 2019\"/>
    </mc:Choice>
  </mc:AlternateContent>
  <xr:revisionPtr revIDLastSave="0" documentId="13_ncr:1_{08EFF179-3A64-4D3E-9B88-D798CA444E04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Group" sheetId="1" r:id="rId1"/>
    <sheet name="North + West" sheetId="2" r:id="rId2"/>
    <sheet name="South + East" sheetId="4" r:id="rId3"/>
    <sheet name="Intern.+ Special Divisions" sheetId="3" r:id="rId4"/>
    <sheet name="Other" sheetId="5" r:id="rId5"/>
  </sheets>
  <externalReferences>
    <externalReference r:id="rId6"/>
  </externalReferences>
  <definedNames>
    <definedName name="_xlnm.Print_Area" localSheetId="0">Group!$A$1:$J$217</definedName>
    <definedName name="_xlnm.Print_Area" localSheetId="3">'Intern.+ Special Divisions'!$A$1:$J$101</definedName>
    <definedName name="_xlnm.Print_Area" localSheetId="1">'North + West'!$A$1:$J$101</definedName>
    <definedName name="_xlnm.Print_Area" localSheetId="4">Other!$A$1:$J$101</definedName>
    <definedName name="_xlnm.Print_Area" localSheetId="2">'South + East'!$A$1:$J$101</definedName>
    <definedName name="_xlnm.Print_Titles" localSheetId="0">Group!$1:$1</definedName>
    <definedName name="_xlnm.Print_Titles" localSheetId="3">'Intern.+ Special Divisions'!$1:$1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  <definedName name="Prozentrundung">Group!#REF!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3" i="1" l="1"/>
  <c r="D47" i="1"/>
  <c r="C124" i="1" l="1"/>
  <c r="E124" i="1"/>
  <c r="C117" i="1"/>
  <c r="G124" i="1"/>
  <c r="B124" i="1" l="1"/>
  <c r="B29" i="1" l="1"/>
  <c r="D34" i="1"/>
  <c r="B9" i="5" l="1"/>
  <c r="D97" i="1"/>
  <c r="D94" i="1"/>
  <c r="B107" i="1"/>
  <c r="B106" i="1"/>
  <c r="B97" i="1"/>
  <c r="B94" i="1"/>
  <c r="B73" i="1"/>
  <c r="B54" i="1"/>
  <c r="C31" i="1"/>
  <c r="B16" i="1"/>
  <c r="C33" i="2" l="1"/>
  <c r="C32" i="2"/>
  <c r="C31" i="2"/>
  <c r="C30" i="2"/>
  <c r="C29" i="2"/>
  <c r="C28" i="2"/>
  <c r="C27" i="2"/>
  <c r="C26" i="2"/>
  <c r="C25" i="2"/>
  <c r="C24" i="2"/>
  <c r="C21" i="2"/>
  <c r="C20" i="2"/>
  <c r="C17" i="2"/>
  <c r="C175" i="1" l="1"/>
  <c r="C76" i="4" l="1"/>
  <c r="C95" i="2"/>
  <c r="B8" i="4" l="1"/>
  <c r="C95" i="4"/>
  <c r="C93" i="4"/>
  <c r="C92" i="4"/>
  <c r="C91" i="4"/>
  <c r="C89" i="4"/>
  <c r="C87" i="4"/>
  <c r="C86" i="4"/>
  <c r="C85" i="4"/>
  <c r="C84" i="4"/>
  <c r="C83" i="4"/>
  <c r="C82" i="4"/>
  <c r="C81" i="4"/>
  <c r="C80" i="4"/>
  <c r="C79" i="4"/>
  <c r="C78" i="4"/>
  <c r="C77" i="4"/>
  <c r="C95" i="3"/>
  <c r="C94" i="3"/>
  <c r="C93" i="3"/>
  <c r="C92" i="3"/>
  <c r="C91" i="3"/>
  <c r="C90" i="3"/>
  <c r="C89" i="3"/>
  <c r="C88" i="3"/>
  <c r="C87" i="3"/>
  <c r="C86" i="3"/>
  <c r="C83" i="3"/>
  <c r="C82" i="3"/>
  <c r="C81" i="3"/>
  <c r="C80" i="3"/>
  <c r="C78" i="3"/>
  <c r="C77" i="3"/>
  <c r="C81" i="5"/>
  <c r="C80" i="5"/>
  <c r="C77" i="5"/>
  <c r="C94" i="2"/>
  <c r="C93" i="2"/>
  <c r="C92" i="2"/>
  <c r="C91" i="2"/>
  <c r="C90" i="2"/>
  <c r="C89" i="2"/>
  <c r="C88" i="2"/>
  <c r="C87" i="2"/>
  <c r="C86" i="2"/>
  <c r="C81" i="2"/>
  <c r="C78" i="2"/>
  <c r="C62" i="4"/>
  <c r="C61" i="4"/>
  <c r="C60" i="4"/>
  <c r="C59" i="4"/>
  <c r="C57" i="4"/>
  <c r="C56" i="4"/>
  <c r="C55" i="4"/>
  <c r="C54" i="4"/>
  <c r="C53" i="4"/>
  <c r="C52" i="4"/>
  <c r="C51" i="4"/>
  <c r="C50" i="4"/>
  <c r="C49" i="4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62" i="2"/>
  <c r="C61" i="2"/>
  <c r="C60" i="2"/>
  <c r="C58" i="2"/>
  <c r="C57" i="2"/>
  <c r="C56" i="2"/>
  <c r="C55" i="2"/>
  <c r="C51" i="2"/>
  <c r="C49" i="2"/>
  <c r="C34" i="4"/>
  <c r="C33" i="4"/>
  <c r="C32" i="4"/>
  <c r="C31" i="4"/>
  <c r="C30" i="4"/>
  <c r="C28" i="4"/>
  <c r="C26" i="4"/>
  <c r="C25" i="4"/>
  <c r="C24" i="4"/>
  <c r="C23" i="4"/>
  <c r="C22" i="4"/>
  <c r="C21" i="4"/>
  <c r="C20" i="4"/>
  <c r="C19" i="4"/>
  <c r="C18" i="4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32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B100" i="4"/>
  <c r="B99" i="4"/>
  <c r="B98" i="4"/>
  <c r="B97" i="4"/>
  <c r="B96" i="4"/>
  <c r="C75" i="4"/>
  <c r="C74" i="4"/>
  <c r="B70" i="4"/>
  <c r="B69" i="4"/>
  <c r="B68" i="4"/>
  <c r="B67" i="4"/>
  <c r="B66" i="4"/>
  <c r="C65" i="4"/>
  <c r="C64" i="4"/>
  <c r="C63" i="4"/>
  <c r="C48" i="4"/>
  <c r="C47" i="4"/>
  <c r="C46" i="4"/>
  <c r="C45" i="4"/>
  <c r="C44" i="4"/>
  <c r="B39" i="4"/>
  <c r="B38" i="4"/>
  <c r="B37" i="4"/>
  <c r="B36" i="4"/>
  <c r="B35" i="4"/>
  <c r="C17" i="4"/>
  <c r="C16" i="4"/>
  <c r="C15" i="4"/>
  <c r="C14" i="4"/>
  <c r="C13" i="4"/>
  <c r="C7" i="4"/>
  <c r="C6" i="4"/>
  <c r="C5" i="4"/>
  <c r="B100" i="3"/>
  <c r="B99" i="3"/>
  <c r="B98" i="3"/>
  <c r="B97" i="3"/>
  <c r="B96" i="3"/>
  <c r="C76" i="3"/>
  <c r="C75" i="3"/>
  <c r="C74" i="3"/>
  <c r="B70" i="3"/>
  <c r="B69" i="3"/>
  <c r="B68" i="3"/>
  <c r="B67" i="3"/>
  <c r="B66" i="3"/>
  <c r="C65" i="3"/>
  <c r="C64" i="3"/>
  <c r="C63" i="3"/>
  <c r="C48" i="3"/>
  <c r="C47" i="3"/>
  <c r="C46" i="3"/>
  <c r="C45" i="3"/>
  <c r="C44" i="3"/>
  <c r="B39" i="3"/>
  <c r="B38" i="3"/>
  <c r="B37" i="3"/>
  <c r="B36" i="3"/>
  <c r="B35" i="3"/>
  <c r="C17" i="3"/>
  <c r="C16" i="3"/>
  <c r="C15" i="3"/>
  <c r="C14" i="3"/>
  <c r="C13" i="3"/>
  <c r="B8" i="3"/>
  <c r="C7" i="3"/>
  <c r="C6" i="3"/>
  <c r="C5" i="3"/>
  <c r="B100" i="5"/>
  <c r="B99" i="5"/>
  <c r="B98" i="5"/>
  <c r="B97" i="5"/>
  <c r="B96" i="5"/>
  <c r="C76" i="5"/>
  <c r="C75" i="5"/>
  <c r="C74" i="5"/>
  <c r="B70" i="5"/>
  <c r="B69" i="5"/>
  <c r="B68" i="5"/>
  <c r="B67" i="5"/>
  <c r="B66" i="5"/>
  <c r="C65" i="5"/>
  <c r="C63" i="5"/>
  <c r="C48" i="5"/>
  <c r="C47" i="5"/>
  <c r="C46" i="5"/>
  <c r="C45" i="5"/>
  <c r="C44" i="5"/>
  <c r="B39" i="5"/>
  <c r="B38" i="5"/>
  <c r="B37" i="5"/>
  <c r="B36" i="5"/>
  <c r="B35" i="5"/>
  <c r="C17" i="5"/>
  <c r="C16" i="5"/>
  <c r="C15" i="5"/>
  <c r="C14" i="5"/>
  <c r="C13" i="5"/>
  <c r="C9" i="5"/>
  <c r="B8" i="5"/>
  <c r="C7" i="5"/>
  <c r="C6" i="5"/>
  <c r="C5" i="5"/>
  <c r="B100" i="2"/>
  <c r="B99" i="2"/>
  <c r="B98" i="2"/>
  <c r="B97" i="2"/>
  <c r="B96" i="2"/>
  <c r="C76" i="2"/>
  <c r="C75" i="2"/>
  <c r="C74" i="2"/>
  <c r="B70" i="2"/>
  <c r="B69" i="2"/>
  <c r="B68" i="2"/>
  <c r="B67" i="2"/>
  <c r="B66" i="2"/>
  <c r="C65" i="2"/>
  <c r="C64" i="2"/>
  <c r="C63" i="2"/>
  <c r="C48" i="2"/>
  <c r="C47" i="2"/>
  <c r="C46" i="2"/>
  <c r="C45" i="2"/>
  <c r="C44" i="2"/>
  <c r="B39" i="2"/>
  <c r="B38" i="2"/>
  <c r="B37" i="2"/>
  <c r="B36" i="2"/>
  <c r="B35" i="2"/>
  <c r="C16" i="2"/>
  <c r="C15" i="2"/>
  <c r="C14" i="2"/>
  <c r="C13" i="2"/>
  <c r="B8" i="2"/>
  <c r="C7" i="2"/>
  <c r="C6" i="2"/>
  <c r="C5" i="2"/>
  <c r="B216" i="1"/>
  <c r="B215" i="1"/>
  <c r="B214" i="1"/>
  <c r="B213" i="1"/>
  <c r="B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B186" i="1"/>
  <c r="B185" i="1"/>
  <c r="B184" i="1"/>
  <c r="B183" i="1"/>
  <c r="B182" i="1"/>
  <c r="C181" i="1"/>
  <c r="C180" i="1"/>
  <c r="C179" i="1"/>
  <c r="C178" i="1"/>
  <c r="C177" i="1"/>
  <c r="C176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7" i="1"/>
  <c r="C156" i="1"/>
  <c r="B153" i="1"/>
  <c r="B152" i="1"/>
  <c r="B151" i="1"/>
  <c r="B150" i="1"/>
  <c r="B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0" i="1"/>
  <c r="C119" i="1"/>
  <c r="C118" i="1"/>
  <c r="C116" i="1"/>
  <c r="C115" i="1"/>
  <c r="C111" i="1"/>
  <c r="C110" i="1"/>
  <c r="C109" i="1"/>
  <c r="C107" i="1"/>
  <c r="B105" i="1"/>
  <c r="C104" i="1"/>
  <c r="C103" i="1"/>
  <c r="C102" i="1"/>
  <c r="C101" i="1"/>
  <c r="C100" i="1"/>
  <c r="C98" i="1"/>
  <c r="C97" i="1"/>
  <c r="C95" i="1"/>
  <c r="C94" i="1"/>
  <c r="C92" i="1"/>
  <c r="C91" i="1"/>
  <c r="C88" i="1"/>
  <c r="C87" i="1"/>
  <c r="C86" i="1"/>
  <c r="C85" i="1"/>
  <c r="C84" i="1"/>
  <c r="C83" i="1"/>
  <c r="C82" i="1"/>
  <c r="C76" i="1"/>
  <c r="B68" i="1"/>
  <c r="B79" i="1" s="1"/>
  <c r="B62" i="1"/>
  <c r="B57" i="1"/>
  <c r="B49" i="1"/>
  <c r="B38" i="1"/>
  <c r="C33" i="1"/>
  <c r="C21" i="1"/>
  <c r="C19" i="1"/>
  <c r="B17" i="1"/>
  <c r="C16" i="1"/>
  <c r="C14" i="1"/>
  <c r="B13" i="1"/>
  <c r="B24" i="1" s="1"/>
  <c r="C12" i="1"/>
  <c r="C11" i="1"/>
  <c r="C10" i="1"/>
  <c r="C9" i="1"/>
  <c r="C8" i="1"/>
  <c r="C7" i="1"/>
  <c r="C6" i="1"/>
  <c r="C5" i="1"/>
  <c r="C4" i="1"/>
  <c r="C98" i="3" l="1"/>
  <c r="C67" i="3"/>
  <c r="C100" i="4"/>
  <c r="C68" i="2"/>
  <c r="C216" i="1"/>
  <c r="C36" i="5"/>
  <c r="C97" i="5"/>
  <c r="C69" i="5"/>
  <c r="C35" i="5"/>
  <c r="C70" i="5"/>
  <c r="C35" i="3"/>
  <c r="B71" i="3"/>
  <c r="B3" i="3" s="1"/>
  <c r="B40" i="4"/>
  <c r="B217" i="1"/>
  <c r="B3" i="1" s="1"/>
  <c r="B101" i="2"/>
  <c r="B4" i="2" s="1"/>
  <c r="B101" i="4"/>
  <c r="B4" i="4" s="1"/>
  <c r="B71" i="4"/>
  <c r="B71" i="2"/>
  <c r="B3" i="2" s="1"/>
  <c r="B71" i="5"/>
  <c r="B3" i="5" s="1"/>
  <c r="C35" i="4"/>
  <c r="B40" i="5"/>
  <c r="B40" i="2"/>
  <c r="B101" i="5"/>
  <c r="B40" i="3"/>
  <c r="B101" i="3"/>
  <c r="C67" i="2"/>
  <c r="B187" i="1"/>
  <c r="B154" i="1"/>
  <c r="B74" i="1"/>
  <c r="B15" i="1"/>
  <c r="B18" i="1" s="1"/>
  <c r="B2" i="1"/>
  <c r="B25" i="1"/>
  <c r="B112" i="1"/>
  <c r="F41" i="1"/>
  <c r="D106" i="1"/>
  <c r="C106" i="1" s="1"/>
  <c r="D68" i="1"/>
  <c r="D54" i="1"/>
  <c r="D49" i="1" s="1"/>
  <c r="E89" i="4"/>
  <c r="E75" i="5"/>
  <c r="E76" i="5"/>
  <c r="E77" i="5"/>
  <c r="E80" i="5"/>
  <c r="E81" i="5"/>
  <c r="E88" i="5"/>
  <c r="E93" i="5"/>
  <c r="E7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44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30" i="5"/>
  <c r="E32" i="5"/>
  <c r="E13" i="5"/>
  <c r="E5" i="5"/>
  <c r="E6" i="5"/>
  <c r="E7" i="5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9" i="4"/>
  <c r="E61" i="4"/>
  <c r="E62" i="4"/>
  <c r="E63" i="4"/>
  <c r="E64" i="4"/>
  <c r="E65" i="4"/>
  <c r="E74" i="4"/>
  <c r="E75" i="4"/>
  <c r="E77" i="4"/>
  <c r="E78" i="4"/>
  <c r="E79" i="4"/>
  <c r="E80" i="4"/>
  <c r="E81" i="4"/>
  <c r="E82" i="4"/>
  <c r="E83" i="4"/>
  <c r="E84" i="4"/>
  <c r="E85" i="4"/>
  <c r="E86" i="4"/>
  <c r="E87" i="4"/>
  <c r="E91" i="4"/>
  <c r="E95" i="4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74" i="3"/>
  <c r="E75" i="3"/>
  <c r="E76" i="3"/>
  <c r="E77" i="3"/>
  <c r="E78" i="3"/>
  <c r="E79" i="3"/>
  <c r="E80" i="3"/>
  <c r="E81" i="3"/>
  <c r="E82" i="3"/>
  <c r="E83" i="3"/>
  <c r="E85" i="3"/>
  <c r="E86" i="3"/>
  <c r="E87" i="3"/>
  <c r="E88" i="3"/>
  <c r="E89" i="3"/>
  <c r="E90" i="3"/>
  <c r="E91" i="3"/>
  <c r="E92" i="3"/>
  <c r="E93" i="3"/>
  <c r="E94" i="3"/>
  <c r="E95" i="3"/>
  <c r="E45" i="2"/>
  <c r="E46" i="2"/>
  <c r="E47" i="2"/>
  <c r="E48" i="2"/>
  <c r="E51" i="2"/>
  <c r="E56" i="2"/>
  <c r="E57" i="2"/>
  <c r="E58" i="2"/>
  <c r="E60" i="2"/>
  <c r="E61" i="2"/>
  <c r="E62" i="2"/>
  <c r="E63" i="2"/>
  <c r="E64" i="2"/>
  <c r="E65" i="2"/>
  <c r="E74" i="2"/>
  <c r="E75" i="2"/>
  <c r="E76" i="2"/>
  <c r="E78" i="2"/>
  <c r="E79" i="2"/>
  <c r="E81" i="2"/>
  <c r="E86" i="2"/>
  <c r="E87" i="2"/>
  <c r="E88" i="2"/>
  <c r="E90" i="2"/>
  <c r="E91" i="2"/>
  <c r="E92" i="2"/>
  <c r="E93" i="2"/>
  <c r="E94" i="2"/>
  <c r="E44" i="4"/>
  <c r="E44" i="3"/>
  <c r="E44" i="2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8" i="4"/>
  <c r="E30" i="4"/>
  <c r="E31" i="4"/>
  <c r="E33" i="4"/>
  <c r="E34" i="4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14" i="2"/>
  <c r="E15" i="2"/>
  <c r="E16" i="2"/>
  <c r="E17" i="2"/>
  <c r="E20" i="2"/>
  <c r="E25" i="2"/>
  <c r="E26" i="2"/>
  <c r="E27" i="2"/>
  <c r="E28" i="2"/>
  <c r="E29" i="2"/>
  <c r="E30" i="2"/>
  <c r="E31" i="2"/>
  <c r="E32" i="2"/>
  <c r="E33" i="2"/>
  <c r="E13" i="4"/>
  <c r="E13" i="3"/>
  <c r="E13" i="2"/>
  <c r="E5" i="4"/>
  <c r="E6" i="4"/>
  <c r="E7" i="4"/>
  <c r="E5" i="3"/>
  <c r="E6" i="3"/>
  <c r="E7" i="3"/>
  <c r="E5" i="2"/>
  <c r="E6" i="2"/>
  <c r="E7" i="2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160" i="1"/>
  <c r="E15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56" i="1"/>
  <c r="E127" i="1"/>
  <c r="E92" i="1"/>
  <c r="E93" i="1"/>
  <c r="E94" i="1"/>
  <c r="E95" i="1"/>
  <c r="E96" i="1"/>
  <c r="E97" i="1"/>
  <c r="E98" i="1"/>
  <c r="E100" i="1"/>
  <c r="E101" i="1"/>
  <c r="E102" i="1"/>
  <c r="E103" i="1"/>
  <c r="E104" i="1"/>
  <c r="E106" i="1"/>
  <c r="E107" i="1"/>
  <c r="E108" i="1"/>
  <c r="E109" i="1"/>
  <c r="E110" i="1"/>
  <c r="E111" i="1"/>
  <c r="E115" i="1"/>
  <c r="E116" i="1"/>
  <c r="E118" i="1"/>
  <c r="E119" i="1"/>
  <c r="E120" i="1"/>
  <c r="E91" i="1"/>
  <c r="E82" i="1"/>
  <c r="E83" i="1"/>
  <c r="E84" i="1"/>
  <c r="E85" i="1"/>
  <c r="E86" i="1"/>
  <c r="E87" i="1"/>
  <c r="E88" i="1"/>
  <c r="E76" i="1"/>
  <c r="E6" i="1"/>
  <c r="E7" i="1"/>
  <c r="E8" i="1"/>
  <c r="E9" i="1"/>
  <c r="E10" i="1"/>
  <c r="E11" i="1"/>
  <c r="E12" i="1"/>
  <c r="E14" i="1"/>
  <c r="E16" i="1"/>
  <c r="E19" i="1"/>
  <c r="E21" i="1"/>
  <c r="E31" i="1"/>
  <c r="E33" i="1"/>
  <c r="E4" i="1"/>
  <c r="E5" i="1"/>
  <c r="D62" i="1"/>
  <c r="D57" i="1"/>
  <c r="D38" i="1"/>
  <c r="D112" i="1"/>
  <c r="D105" i="1"/>
  <c r="C105" i="1" s="1"/>
  <c r="D17" i="1"/>
  <c r="C17" i="1" s="1"/>
  <c r="D8" i="2"/>
  <c r="D13" i="1"/>
  <c r="D24" i="1" s="1"/>
  <c r="F100" i="3"/>
  <c r="F99" i="3"/>
  <c r="F98" i="3"/>
  <c r="E98" i="3" s="1"/>
  <c r="F97" i="3"/>
  <c r="F96" i="3"/>
  <c r="G95" i="3"/>
  <c r="G94" i="3"/>
  <c r="G93" i="3"/>
  <c r="G92" i="3"/>
  <c r="G91" i="3"/>
  <c r="G90" i="3"/>
  <c r="G89" i="3"/>
  <c r="G88" i="3"/>
  <c r="G87" i="3"/>
  <c r="G86" i="3"/>
  <c r="G84" i="3"/>
  <c r="G83" i="3"/>
  <c r="G82" i="3"/>
  <c r="G81" i="3"/>
  <c r="G80" i="3"/>
  <c r="G79" i="3"/>
  <c r="G78" i="3"/>
  <c r="G77" i="3"/>
  <c r="G76" i="3"/>
  <c r="G75" i="3"/>
  <c r="G74" i="3"/>
  <c r="F70" i="3"/>
  <c r="G70" i="3" s="1"/>
  <c r="F69" i="3"/>
  <c r="F68" i="3"/>
  <c r="F67" i="3"/>
  <c r="F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F39" i="3"/>
  <c r="F38" i="3"/>
  <c r="F37" i="3"/>
  <c r="F36" i="3"/>
  <c r="F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F8" i="3"/>
  <c r="G7" i="3"/>
  <c r="G6" i="3"/>
  <c r="G5" i="3"/>
  <c r="I6" i="3"/>
  <c r="I95" i="3"/>
  <c r="I94" i="3"/>
  <c r="I93" i="3"/>
  <c r="I92" i="3"/>
  <c r="I91" i="3"/>
  <c r="I90" i="3"/>
  <c r="I89" i="3"/>
  <c r="I88" i="3"/>
  <c r="I87" i="3"/>
  <c r="I86" i="3"/>
  <c r="I84" i="3"/>
  <c r="I82" i="3"/>
  <c r="I81" i="3"/>
  <c r="I80" i="3"/>
  <c r="I79" i="3"/>
  <c r="I78" i="3"/>
  <c r="I77" i="3"/>
  <c r="I76" i="3"/>
  <c r="I75" i="3"/>
  <c r="I74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7" i="3"/>
  <c r="I5" i="3"/>
  <c r="H100" i="3"/>
  <c r="H99" i="3"/>
  <c r="G99" i="3" s="1"/>
  <c r="H98" i="3"/>
  <c r="H97" i="3"/>
  <c r="G97" i="3" s="1"/>
  <c r="H96" i="3"/>
  <c r="H70" i="3"/>
  <c r="H69" i="3"/>
  <c r="G69" i="3" s="1"/>
  <c r="H68" i="3"/>
  <c r="H67" i="3"/>
  <c r="G67" i="3" s="1"/>
  <c r="H66" i="3"/>
  <c r="I66" i="3" s="1"/>
  <c r="H39" i="3"/>
  <c r="G39" i="3"/>
  <c r="H38" i="3"/>
  <c r="H37" i="3"/>
  <c r="I37" i="3" s="1"/>
  <c r="H36" i="3"/>
  <c r="G36" i="3"/>
  <c r="H35" i="3"/>
  <c r="H8" i="3"/>
  <c r="F54" i="1"/>
  <c r="F49" i="1" s="1"/>
  <c r="F57" i="1"/>
  <c r="F66" i="1"/>
  <c r="F62" i="1" s="1"/>
  <c r="F73" i="1"/>
  <c r="F68" i="1" s="1"/>
  <c r="D100" i="5"/>
  <c r="D99" i="5"/>
  <c r="D98" i="5"/>
  <c r="C98" i="5" s="1"/>
  <c r="D97" i="5"/>
  <c r="D96" i="5"/>
  <c r="E96" i="5" s="1"/>
  <c r="D70" i="5"/>
  <c r="D69" i="5"/>
  <c r="D68" i="5"/>
  <c r="C68" i="5" s="1"/>
  <c r="D67" i="5"/>
  <c r="E67" i="5" s="1"/>
  <c r="D66" i="5"/>
  <c r="C66" i="5" s="1"/>
  <c r="D39" i="5"/>
  <c r="C39" i="5" s="1"/>
  <c r="D38" i="5"/>
  <c r="C38" i="5" s="1"/>
  <c r="D37" i="5"/>
  <c r="C37" i="5" s="1"/>
  <c r="D36" i="5"/>
  <c r="D35" i="5"/>
  <c r="D8" i="5"/>
  <c r="D100" i="4"/>
  <c r="D99" i="4"/>
  <c r="D101" i="4" s="1"/>
  <c r="C101" i="4" s="1"/>
  <c r="D98" i="4"/>
  <c r="C98" i="4" s="1"/>
  <c r="D97" i="4"/>
  <c r="C97" i="4" s="1"/>
  <c r="D96" i="4"/>
  <c r="C96" i="4" s="1"/>
  <c r="D70" i="4"/>
  <c r="E70" i="4" s="1"/>
  <c r="D69" i="4"/>
  <c r="C69" i="4" s="1"/>
  <c r="D68" i="4"/>
  <c r="C68" i="4" s="1"/>
  <c r="D67" i="4"/>
  <c r="C67" i="4" s="1"/>
  <c r="D66" i="4"/>
  <c r="E66" i="4" s="1"/>
  <c r="D39" i="4"/>
  <c r="C39" i="4" s="1"/>
  <c r="D38" i="4"/>
  <c r="C38" i="4" s="1"/>
  <c r="D37" i="4"/>
  <c r="C37" i="4" s="1"/>
  <c r="D36" i="4"/>
  <c r="D40" i="4" s="1"/>
  <c r="D35" i="4"/>
  <c r="D8" i="4"/>
  <c r="D100" i="2"/>
  <c r="C100" i="2" s="1"/>
  <c r="D99" i="2"/>
  <c r="D101" i="2" s="1"/>
  <c r="C101" i="2" s="1"/>
  <c r="D98" i="2"/>
  <c r="C98" i="2" s="1"/>
  <c r="D97" i="2"/>
  <c r="C97" i="2" s="1"/>
  <c r="D96" i="2"/>
  <c r="C96" i="2" s="1"/>
  <c r="D70" i="2"/>
  <c r="C70" i="2" s="1"/>
  <c r="D69" i="2"/>
  <c r="C69" i="2" s="1"/>
  <c r="D68" i="2"/>
  <c r="D67" i="2"/>
  <c r="D66" i="2"/>
  <c r="D71" i="2" s="1"/>
  <c r="C71" i="2" s="1"/>
  <c r="D39" i="2"/>
  <c r="C39" i="2" s="1"/>
  <c r="D38" i="2"/>
  <c r="C38" i="2" s="1"/>
  <c r="D37" i="2"/>
  <c r="C37" i="2" s="1"/>
  <c r="D36" i="2"/>
  <c r="C36" i="2" s="1"/>
  <c r="D35" i="2"/>
  <c r="C35" i="2" s="1"/>
  <c r="D216" i="1"/>
  <c r="D215" i="1"/>
  <c r="C215" i="1" s="1"/>
  <c r="D214" i="1"/>
  <c r="C214" i="1" s="1"/>
  <c r="D213" i="1"/>
  <c r="C213" i="1" s="1"/>
  <c r="D212" i="1"/>
  <c r="C212" i="1" s="1"/>
  <c r="D186" i="1"/>
  <c r="E186" i="1" s="1"/>
  <c r="D185" i="1"/>
  <c r="C185" i="1" s="1"/>
  <c r="D184" i="1"/>
  <c r="D183" i="1"/>
  <c r="C183" i="1" s="1"/>
  <c r="D182" i="1"/>
  <c r="C182" i="1" s="1"/>
  <c r="D153" i="1"/>
  <c r="C153" i="1" s="1"/>
  <c r="D152" i="1"/>
  <c r="D151" i="1"/>
  <c r="C151" i="1" s="1"/>
  <c r="D150" i="1"/>
  <c r="C150" i="1" s="1"/>
  <c r="D149" i="1"/>
  <c r="C149" i="1" s="1"/>
  <c r="D124" i="1"/>
  <c r="G33" i="1"/>
  <c r="F9" i="5"/>
  <c r="G9" i="5" s="1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30" i="5"/>
  <c r="G32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74" i="5"/>
  <c r="G75" i="5"/>
  <c r="G76" i="5"/>
  <c r="G77" i="5"/>
  <c r="G80" i="5"/>
  <c r="G81" i="5"/>
  <c r="G88" i="5"/>
  <c r="G92" i="5"/>
  <c r="G95" i="5"/>
  <c r="G13" i="5"/>
  <c r="G5" i="5"/>
  <c r="G6" i="5"/>
  <c r="G7" i="5"/>
  <c r="G5" i="4"/>
  <c r="G6" i="4"/>
  <c r="G7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9" i="4"/>
  <c r="G91" i="4"/>
  <c r="G92" i="4"/>
  <c r="G93" i="4"/>
  <c r="G95" i="4"/>
  <c r="G5" i="2"/>
  <c r="G6" i="2"/>
  <c r="G7" i="2"/>
  <c r="G13" i="2"/>
  <c r="G14" i="2"/>
  <c r="G15" i="2"/>
  <c r="G16" i="2"/>
  <c r="G17" i="2"/>
  <c r="G18" i="2"/>
  <c r="G20" i="2"/>
  <c r="G25" i="2"/>
  <c r="G26" i="2"/>
  <c r="G27" i="2"/>
  <c r="G28" i="2"/>
  <c r="G29" i="2"/>
  <c r="G30" i="2"/>
  <c r="G31" i="2"/>
  <c r="G32" i="2"/>
  <c r="G33" i="2"/>
  <c r="G44" i="2"/>
  <c r="G45" i="2"/>
  <c r="G46" i="2"/>
  <c r="G47" i="2"/>
  <c r="G48" i="2"/>
  <c r="G49" i="2"/>
  <c r="G51" i="2"/>
  <c r="G56" i="2"/>
  <c r="G57" i="2"/>
  <c r="G58" i="2"/>
  <c r="G59" i="2"/>
  <c r="G60" i="2"/>
  <c r="G61" i="2"/>
  <c r="G62" i="2"/>
  <c r="G63" i="2"/>
  <c r="G64" i="2"/>
  <c r="G65" i="2"/>
  <c r="G74" i="2"/>
  <c r="G75" i="2"/>
  <c r="G76" i="2"/>
  <c r="G78" i="2"/>
  <c r="G79" i="2"/>
  <c r="G81" i="2"/>
  <c r="G86" i="2"/>
  <c r="G87" i="2"/>
  <c r="G88" i="2"/>
  <c r="G90" i="2"/>
  <c r="G91" i="2"/>
  <c r="G92" i="2"/>
  <c r="G93" i="2"/>
  <c r="G94" i="2"/>
  <c r="F8" i="5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160" i="1"/>
  <c r="G157" i="1"/>
  <c r="G156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27" i="1"/>
  <c r="G82" i="1"/>
  <c r="G84" i="1"/>
  <c r="G85" i="1"/>
  <c r="G86" i="1"/>
  <c r="G87" i="1"/>
  <c r="G88" i="1"/>
  <c r="G91" i="1"/>
  <c r="G92" i="1"/>
  <c r="G93" i="1"/>
  <c r="G94" i="1"/>
  <c r="G95" i="1"/>
  <c r="G96" i="1"/>
  <c r="G97" i="1"/>
  <c r="G98" i="1"/>
  <c r="G100" i="1"/>
  <c r="G101" i="1"/>
  <c r="G102" i="1"/>
  <c r="G103" i="1"/>
  <c r="G104" i="1"/>
  <c r="G106" i="1"/>
  <c r="G108" i="1"/>
  <c r="G109" i="1"/>
  <c r="G110" i="1"/>
  <c r="G111" i="1"/>
  <c r="G115" i="1"/>
  <c r="G118" i="1"/>
  <c r="G119" i="1"/>
  <c r="G120" i="1"/>
  <c r="G76" i="1"/>
  <c r="G31" i="1"/>
  <c r="G14" i="1"/>
  <c r="G19" i="1"/>
  <c r="G21" i="1"/>
  <c r="G5" i="1"/>
  <c r="G6" i="1"/>
  <c r="G7" i="1"/>
  <c r="G8" i="1"/>
  <c r="G9" i="1"/>
  <c r="G10" i="1"/>
  <c r="G11" i="1"/>
  <c r="G12" i="1"/>
  <c r="G4" i="1"/>
  <c r="F149" i="1"/>
  <c r="F35" i="2"/>
  <c r="E35" i="2" s="1"/>
  <c r="I80" i="5"/>
  <c r="I81" i="5"/>
  <c r="I86" i="5"/>
  <c r="I88" i="5"/>
  <c r="I92" i="5"/>
  <c r="I93" i="5"/>
  <c r="J13" i="1"/>
  <c r="J24" i="1" s="1"/>
  <c r="J25" i="1" s="1"/>
  <c r="J16" i="1"/>
  <c r="J17" i="1" s="1"/>
  <c r="J38" i="1"/>
  <c r="J49" i="1"/>
  <c r="J79" i="1" s="1"/>
  <c r="J57" i="1"/>
  <c r="J62" i="1"/>
  <c r="J74" i="1" s="1"/>
  <c r="J68" i="1"/>
  <c r="J105" i="1"/>
  <c r="J112" i="1"/>
  <c r="J124" i="1"/>
  <c r="J149" i="1"/>
  <c r="J150" i="1"/>
  <c r="J151" i="1"/>
  <c r="J152" i="1"/>
  <c r="J153" i="1"/>
  <c r="J182" i="1"/>
  <c r="J183" i="1"/>
  <c r="J184" i="1"/>
  <c r="J185" i="1"/>
  <c r="J186" i="1"/>
  <c r="J212" i="1"/>
  <c r="J213" i="1"/>
  <c r="J214" i="1"/>
  <c r="J215" i="1"/>
  <c r="I215" i="1" s="1"/>
  <c r="J216" i="1"/>
  <c r="I75" i="5"/>
  <c r="I76" i="5"/>
  <c r="I77" i="5"/>
  <c r="I7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44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30" i="5"/>
  <c r="I32" i="5"/>
  <c r="I13" i="5"/>
  <c r="I9" i="5"/>
  <c r="I5" i="5"/>
  <c r="I6" i="5"/>
  <c r="I7" i="5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9" i="4"/>
  <c r="I91" i="4"/>
  <c r="I92" i="4"/>
  <c r="I93" i="4"/>
  <c r="I94" i="4"/>
  <c r="I95" i="4"/>
  <c r="I7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44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13" i="4"/>
  <c r="I7" i="4"/>
  <c r="I6" i="4"/>
  <c r="I5" i="4"/>
  <c r="I75" i="2"/>
  <c r="I76" i="2"/>
  <c r="I77" i="2"/>
  <c r="I79" i="2"/>
  <c r="I81" i="2"/>
  <c r="I86" i="2"/>
  <c r="I87" i="2"/>
  <c r="I88" i="2"/>
  <c r="I90" i="2"/>
  <c r="I91" i="2"/>
  <c r="I92" i="2"/>
  <c r="I93" i="2"/>
  <c r="I94" i="2"/>
  <c r="I74" i="2"/>
  <c r="I45" i="2"/>
  <c r="I46" i="2"/>
  <c r="I47" i="2"/>
  <c r="I48" i="2"/>
  <c r="I49" i="2"/>
  <c r="I50" i="2"/>
  <c r="I51" i="2"/>
  <c r="I52" i="2"/>
  <c r="I56" i="2"/>
  <c r="I57" i="2"/>
  <c r="I58" i="2"/>
  <c r="I59" i="2"/>
  <c r="I60" i="2"/>
  <c r="I61" i="2"/>
  <c r="I62" i="2"/>
  <c r="I63" i="2"/>
  <c r="I64" i="2"/>
  <c r="I65" i="2"/>
  <c r="I44" i="2"/>
  <c r="I14" i="2"/>
  <c r="I15" i="2"/>
  <c r="I16" i="2"/>
  <c r="I17" i="2"/>
  <c r="I18" i="2"/>
  <c r="I20" i="2"/>
  <c r="I25" i="2"/>
  <c r="I26" i="2"/>
  <c r="I27" i="2"/>
  <c r="I28" i="2"/>
  <c r="I29" i="2"/>
  <c r="I30" i="2"/>
  <c r="I31" i="2"/>
  <c r="I32" i="2"/>
  <c r="I33" i="2"/>
  <c r="I34" i="2"/>
  <c r="I13" i="2"/>
  <c r="I5" i="2"/>
  <c r="I6" i="2"/>
  <c r="I7" i="2"/>
  <c r="H100" i="5"/>
  <c r="H99" i="5"/>
  <c r="H98" i="5"/>
  <c r="I98" i="5" s="1"/>
  <c r="H97" i="5"/>
  <c r="H96" i="5"/>
  <c r="H66" i="5"/>
  <c r="H71" i="5" s="1"/>
  <c r="H3" i="5" s="1"/>
  <c r="H70" i="5"/>
  <c r="H69" i="5"/>
  <c r="H68" i="5"/>
  <c r="H67" i="5"/>
  <c r="G67" i="5" s="1"/>
  <c r="H39" i="5"/>
  <c r="I39" i="5" s="1"/>
  <c r="H38" i="5"/>
  <c r="H37" i="5"/>
  <c r="H36" i="5"/>
  <c r="G36" i="5" s="1"/>
  <c r="H35" i="5"/>
  <c r="G35" i="5" s="1"/>
  <c r="H8" i="5"/>
  <c r="H100" i="4"/>
  <c r="I100" i="4" s="1"/>
  <c r="H99" i="4"/>
  <c r="H98" i="4"/>
  <c r="H97" i="4"/>
  <c r="H96" i="4"/>
  <c r="G96" i="4" s="1"/>
  <c r="H70" i="4"/>
  <c r="H69" i="4"/>
  <c r="H68" i="4"/>
  <c r="H67" i="4"/>
  <c r="I67" i="4" s="1"/>
  <c r="H66" i="4"/>
  <c r="H39" i="4"/>
  <c r="H38" i="4"/>
  <c r="H37" i="4"/>
  <c r="I37" i="4" s="1"/>
  <c r="H36" i="4"/>
  <c r="H35" i="4"/>
  <c r="J35" i="4"/>
  <c r="H8" i="4"/>
  <c r="H100" i="2"/>
  <c r="H99" i="2"/>
  <c r="H98" i="2"/>
  <c r="H97" i="2"/>
  <c r="I97" i="2" s="1"/>
  <c r="H96" i="2"/>
  <c r="H70" i="2"/>
  <c r="H69" i="2"/>
  <c r="H68" i="2"/>
  <c r="I68" i="2" s="1"/>
  <c r="H67" i="2"/>
  <c r="H66" i="2"/>
  <c r="H39" i="2"/>
  <c r="H38" i="2"/>
  <c r="H40" i="2" s="1"/>
  <c r="I40" i="2" s="1"/>
  <c r="H37" i="2"/>
  <c r="H36" i="2"/>
  <c r="H35" i="2"/>
  <c r="H8" i="2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190" i="1"/>
  <c r="H216" i="1"/>
  <c r="H215" i="1"/>
  <c r="H214" i="1"/>
  <c r="H213" i="1"/>
  <c r="H212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60" i="1"/>
  <c r="H186" i="1"/>
  <c r="G186" i="1" s="1"/>
  <c r="H185" i="1"/>
  <c r="I185" i="1" s="1"/>
  <c r="H184" i="1"/>
  <c r="I184" i="1" s="1"/>
  <c r="H183" i="1"/>
  <c r="H182" i="1"/>
  <c r="I156" i="1"/>
  <c r="I15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27" i="1"/>
  <c r="H153" i="1"/>
  <c r="H152" i="1"/>
  <c r="I152" i="1" s="1"/>
  <c r="H151" i="1"/>
  <c r="H150" i="1"/>
  <c r="I150" i="1" s="1"/>
  <c r="H149" i="1"/>
  <c r="G149" i="1" s="1"/>
  <c r="I82" i="1"/>
  <c r="I84" i="1"/>
  <c r="I85" i="1"/>
  <c r="I86" i="1"/>
  <c r="I87" i="1"/>
  <c r="I88" i="1"/>
  <c r="I91" i="1"/>
  <c r="I92" i="1"/>
  <c r="I93" i="1"/>
  <c r="I94" i="1"/>
  <c r="I95" i="1"/>
  <c r="I96" i="1"/>
  <c r="I97" i="1"/>
  <c r="I98" i="1"/>
  <c r="I100" i="1"/>
  <c r="I101" i="1"/>
  <c r="I103" i="1"/>
  <c r="I104" i="1"/>
  <c r="I106" i="1"/>
  <c r="I107" i="1"/>
  <c r="I108" i="1"/>
  <c r="I109" i="1"/>
  <c r="I110" i="1"/>
  <c r="I111" i="1"/>
  <c r="I115" i="1"/>
  <c r="I116" i="1"/>
  <c r="I118" i="1"/>
  <c r="I119" i="1"/>
  <c r="I120" i="1"/>
  <c r="H124" i="1"/>
  <c r="H112" i="1"/>
  <c r="G112" i="1" s="1"/>
  <c r="H105" i="1"/>
  <c r="I76" i="1"/>
  <c r="H68" i="1"/>
  <c r="H62" i="1"/>
  <c r="H57" i="1"/>
  <c r="H49" i="1"/>
  <c r="H38" i="1"/>
  <c r="I31" i="1"/>
  <c r="I33" i="1"/>
  <c r="I4" i="1"/>
  <c r="I5" i="1"/>
  <c r="I6" i="1"/>
  <c r="I7" i="1"/>
  <c r="I8" i="1"/>
  <c r="I9" i="1"/>
  <c r="I10" i="1"/>
  <c r="I11" i="1"/>
  <c r="I12" i="1"/>
  <c r="I14" i="1"/>
  <c r="I19" i="1"/>
  <c r="I21" i="1"/>
  <c r="H16" i="1"/>
  <c r="I16" i="1" s="1"/>
  <c r="H13" i="1"/>
  <c r="F124" i="1"/>
  <c r="D8" i="3"/>
  <c r="F8" i="4"/>
  <c r="F8" i="2"/>
  <c r="F70" i="2"/>
  <c r="G70" i="2"/>
  <c r="F69" i="2"/>
  <c r="E69" i="2" s="1"/>
  <c r="F68" i="2"/>
  <c r="G68" i="2" s="1"/>
  <c r="F67" i="2"/>
  <c r="G67" i="2" s="1"/>
  <c r="F66" i="2"/>
  <c r="G66" i="2" s="1"/>
  <c r="F39" i="5"/>
  <c r="F38" i="5"/>
  <c r="E38" i="5" s="1"/>
  <c r="F37" i="5"/>
  <c r="F36" i="5"/>
  <c r="F35" i="5"/>
  <c r="D39" i="3"/>
  <c r="E39" i="3" s="1"/>
  <c r="D38" i="3"/>
  <c r="D40" i="3" s="1"/>
  <c r="D37" i="3"/>
  <c r="C37" i="3" s="1"/>
  <c r="D36" i="3"/>
  <c r="E36" i="3" s="1"/>
  <c r="D35" i="3"/>
  <c r="E35" i="3"/>
  <c r="F39" i="4"/>
  <c r="E39" i="4" s="1"/>
  <c r="F38" i="4"/>
  <c r="E38" i="4" s="1"/>
  <c r="F37" i="4"/>
  <c r="F36" i="4"/>
  <c r="F35" i="4"/>
  <c r="F39" i="2"/>
  <c r="F38" i="2"/>
  <c r="F37" i="2"/>
  <c r="F36" i="2"/>
  <c r="F40" i="2" s="1"/>
  <c r="F70" i="5"/>
  <c r="F69" i="5"/>
  <c r="E69" i="5" s="1"/>
  <c r="F68" i="5"/>
  <c r="G68" i="5" s="1"/>
  <c r="F67" i="5"/>
  <c r="F66" i="5"/>
  <c r="G66" i="5" s="1"/>
  <c r="D70" i="3"/>
  <c r="D69" i="3"/>
  <c r="E69" i="3" s="1"/>
  <c r="D68" i="3"/>
  <c r="C68" i="3" s="1"/>
  <c r="D67" i="3"/>
  <c r="E67" i="3" s="1"/>
  <c r="D66" i="3"/>
  <c r="C66" i="3" s="1"/>
  <c r="F70" i="4"/>
  <c r="F69" i="4"/>
  <c r="G69" i="4" s="1"/>
  <c r="F68" i="4"/>
  <c r="F67" i="4"/>
  <c r="F66" i="4"/>
  <c r="F100" i="5"/>
  <c r="F99" i="5"/>
  <c r="G99" i="5" s="1"/>
  <c r="F98" i="5"/>
  <c r="F97" i="5"/>
  <c r="F96" i="5"/>
  <c r="D100" i="3"/>
  <c r="E100" i="3" s="1"/>
  <c r="D99" i="3"/>
  <c r="E99" i="3" s="1"/>
  <c r="D98" i="3"/>
  <c r="D97" i="3"/>
  <c r="C97" i="3" s="1"/>
  <c r="D96" i="3"/>
  <c r="E96" i="3" s="1"/>
  <c r="F100" i="4"/>
  <c r="G100" i="4" s="1"/>
  <c r="F99" i="4"/>
  <c r="F98" i="4"/>
  <c r="G98" i="4" s="1"/>
  <c r="F97" i="4"/>
  <c r="G97" i="4" s="1"/>
  <c r="F96" i="4"/>
  <c r="F96" i="2"/>
  <c r="E96" i="2" s="1"/>
  <c r="F100" i="2"/>
  <c r="E100" i="2" s="1"/>
  <c r="F99" i="2"/>
  <c r="G99" i="2" s="1"/>
  <c r="F98" i="2"/>
  <c r="G98" i="2" s="1"/>
  <c r="F97" i="2"/>
  <c r="G97" i="2" s="1"/>
  <c r="J100" i="5"/>
  <c r="I100" i="5" s="1"/>
  <c r="J99" i="5"/>
  <c r="I99" i="5" s="1"/>
  <c r="J98" i="5"/>
  <c r="J97" i="5"/>
  <c r="J96" i="5"/>
  <c r="I96" i="5" s="1"/>
  <c r="J70" i="5"/>
  <c r="I70" i="5" s="1"/>
  <c r="J69" i="5"/>
  <c r="J68" i="5"/>
  <c r="J67" i="5"/>
  <c r="J66" i="5"/>
  <c r="I66" i="5" s="1"/>
  <c r="J39" i="5"/>
  <c r="J38" i="5"/>
  <c r="J37" i="5"/>
  <c r="J36" i="5"/>
  <c r="I36" i="5" s="1"/>
  <c r="J35" i="5"/>
  <c r="J8" i="5"/>
  <c r="J100" i="3"/>
  <c r="I100" i="3" s="1"/>
  <c r="J99" i="3"/>
  <c r="J98" i="3"/>
  <c r="J97" i="3"/>
  <c r="J96" i="3"/>
  <c r="J101" i="3" s="1"/>
  <c r="J4" i="3" s="1"/>
  <c r="J70" i="3"/>
  <c r="J69" i="3"/>
  <c r="J68" i="3"/>
  <c r="J67" i="3"/>
  <c r="I67" i="3" s="1"/>
  <c r="J66" i="3"/>
  <c r="J39" i="3"/>
  <c r="I39" i="3" s="1"/>
  <c r="J38" i="3"/>
  <c r="I38" i="3" s="1"/>
  <c r="J37" i="3"/>
  <c r="J36" i="3"/>
  <c r="I36" i="3" s="1"/>
  <c r="J35" i="3"/>
  <c r="I35" i="3" s="1"/>
  <c r="J8" i="3"/>
  <c r="J100" i="4"/>
  <c r="J99" i="4"/>
  <c r="J98" i="4"/>
  <c r="J97" i="4"/>
  <c r="I97" i="4" s="1"/>
  <c r="J96" i="4"/>
  <c r="J70" i="4"/>
  <c r="I70" i="4" s="1"/>
  <c r="J69" i="4"/>
  <c r="J68" i="4"/>
  <c r="J67" i="4"/>
  <c r="J66" i="4"/>
  <c r="J39" i="4"/>
  <c r="I39" i="4" s="1"/>
  <c r="J38" i="4"/>
  <c r="I38" i="4" s="1"/>
  <c r="J37" i="4"/>
  <c r="J36" i="4"/>
  <c r="J8" i="4"/>
  <c r="J100" i="2"/>
  <c r="J99" i="2"/>
  <c r="I99" i="2" s="1"/>
  <c r="J98" i="2"/>
  <c r="J97" i="2"/>
  <c r="J96" i="2"/>
  <c r="J70" i="2"/>
  <c r="J69" i="2"/>
  <c r="J68" i="2"/>
  <c r="J67" i="2"/>
  <c r="I67" i="2" s="1"/>
  <c r="J66" i="2"/>
  <c r="I66" i="2" s="1"/>
  <c r="J39" i="2"/>
  <c r="J38" i="2"/>
  <c r="J37" i="2"/>
  <c r="I37" i="2" s="1"/>
  <c r="J36" i="2"/>
  <c r="J35" i="2"/>
  <c r="J8" i="2"/>
  <c r="I98" i="4"/>
  <c r="F214" i="1"/>
  <c r="F184" i="1"/>
  <c r="G184" i="1" s="1"/>
  <c r="F151" i="1"/>
  <c r="F152" i="1"/>
  <c r="G152" i="1" s="1"/>
  <c r="F216" i="1"/>
  <c r="F215" i="1"/>
  <c r="G215" i="1" s="1"/>
  <c r="F213" i="1"/>
  <c r="F212" i="1"/>
  <c r="E212" i="1" s="1"/>
  <c r="F186" i="1"/>
  <c r="F185" i="1"/>
  <c r="F183" i="1"/>
  <c r="G183" i="1" s="1"/>
  <c r="F182" i="1"/>
  <c r="F153" i="1"/>
  <c r="F150" i="1"/>
  <c r="G150" i="1" s="1"/>
  <c r="F112" i="1"/>
  <c r="F105" i="1"/>
  <c r="G105" i="1" s="1"/>
  <c r="F17" i="1"/>
  <c r="F13" i="1"/>
  <c r="F24" i="1" s="1"/>
  <c r="G39" i="5"/>
  <c r="G38" i="2"/>
  <c r="G37" i="4"/>
  <c r="E36" i="5"/>
  <c r="G37" i="5"/>
  <c r="G68" i="4"/>
  <c r="I100" i="2"/>
  <c r="I67" i="5"/>
  <c r="I186" i="1"/>
  <c r="E37" i="5"/>
  <c r="G99" i="4"/>
  <c r="E97" i="5"/>
  <c r="I68" i="5"/>
  <c r="E35" i="5"/>
  <c r="E39" i="5"/>
  <c r="E98" i="5"/>
  <c r="E153" i="1"/>
  <c r="E214" i="1"/>
  <c r="E37" i="3"/>
  <c r="E37" i="2"/>
  <c r="E37" i="4"/>
  <c r="E67" i="4"/>
  <c r="E96" i="4"/>
  <c r="G70" i="4"/>
  <c r="E38" i="2"/>
  <c r="E68" i="2"/>
  <c r="E97" i="2"/>
  <c r="E68" i="4"/>
  <c r="I39" i="2"/>
  <c r="E97" i="3"/>
  <c r="E35" i="4"/>
  <c r="E98" i="4"/>
  <c r="E149" i="1"/>
  <c r="E112" i="1"/>
  <c r="E185" i="1"/>
  <c r="G153" i="1"/>
  <c r="E39" i="2"/>
  <c r="I70" i="2"/>
  <c r="I69" i="4"/>
  <c r="I99" i="3"/>
  <c r="I68" i="3"/>
  <c r="G96" i="3"/>
  <c r="G68" i="3"/>
  <c r="D71" i="4"/>
  <c r="D3" i="4" s="1"/>
  <c r="I36" i="2"/>
  <c r="I37" i="5"/>
  <c r="G35" i="3"/>
  <c r="I105" i="1"/>
  <c r="G214" i="1"/>
  <c r="J15" i="1"/>
  <c r="H79" i="1"/>
  <c r="I13" i="1"/>
  <c r="I153" i="1"/>
  <c r="D101" i="3"/>
  <c r="D4" i="3" s="1"/>
  <c r="G36" i="4"/>
  <c r="I96" i="2"/>
  <c r="I214" i="1"/>
  <c r="I149" i="1"/>
  <c r="J40" i="2"/>
  <c r="F40" i="5"/>
  <c r="I36" i="4"/>
  <c r="G66" i="4"/>
  <c r="G37" i="2"/>
  <c r="G100" i="3"/>
  <c r="C39" i="1" l="1"/>
  <c r="C47" i="1"/>
  <c r="C55" i="1"/>
  <c r="C63" i="1"/>
  <c r="C71" i="1"/>
  <c r="C64" i="1"/>
  <c r="C72" i="1"/>
  <c r="C65" i="1"/>
  <c r="C50" i="1"/>
  <c r="C74" i="1"/>
  <c r="C59" i="1"/>
  <c r="C40" i="1"/>
  <c r="C48" i="1"/>
  <c r="C56" i="1"/>
  <c r="C73" i="1"/>
  <c r="C58" i="1"/>
  <c r="C43" i="1"/>
  <c r="C38" i="1"/>
  <c r="C68" i="1"/>
  <c r="C53" i="1"/>
  <c r="C46" i="1"/>
  <c r="C41" i="1"/>
  <c r="C49" i="1"/>
  <c r="C57" i="1"/>
  <c r="C66" i="1"/>
  <c r="C51" i="1"/>
  <c r="C67" i="1"/>
  <c r="C52" i="1"/>
  <c r="C61" i="1"/>
  <c r="C70" i="1"/>
  <c r="C42" i="1"/>
  <c r="C44" i="1"/>
  <c r="C60" i="1"/>
  <c r="C45" i="1"/>
  <c r="C69" i="1"/>
  <c r="C54" i="1"/>
  <c r="C62" i="1"/>
  <c r="D74" i="1"/>
  <c r="G66" i="3"/>
  <c r="F101" i="3"/>
  <c r="F4" i="3" s="1"/>
  <c r="E4" i="3" s="1"/>
  <c r="J71" i="3"/>
  <c r="J3" i="3" s="1"/>
  <c r="J9" i="3" s="1"/>
  <c r="E70" i="3"/>
  <c r="I70" i="3"/>
  <c r="I98" i="3"/>
  <c r="C38" i="3"/>
  <c r="C100" i="3"/>
  <c r="C99" i="3"/>
  <c r="H40" i="3"/>
  <c r="H41" i="3" s="1"/>
  <c r="G37" i="3"/>
  <c r="E66" i="3"/>
  <c r="I69" i="3"/>
  <c r="E68" i="3"/>
  <c r="C39" i="3"/>
  <c r="C96" i="3"/>
  <c r="C69" i="3"/>
  <c r="E38" i="3"/>
  <c r="E101" i="3"/>
  <c r="I97" i="3"/>
  <c r="C36" i="3"/>
  <c r="C70" i="3"/>
  <c r="C36" i="4"/>
  <c r="C70" i="4"/>
  <c r="E97" i="4"/>
  <c r="I96" i="4"/>
  <c r="F40" i="4"/>
  <c r="I35" i="4"/>
  <c r="H40" i="4"/>
  <c r="H71" i="4"/>
  <c r="I71" i="4" s="1"/>
  <c r="H101" i="4"/>
  <c r="G67" i="4"/>
  <c r="J71" i="4"/>
  <c r="J3" i="4" s="1"/>
  <c r="J101" i="4"/>
  <c r="J4" i="4" s="1"/>
  <c r="C66" i="4"/>
  <c r="C99" i="4"/>
  <c r="F101" i="4"/>
  <c r="G101" i="4" s="1"/>
  <c r="E100" i="4"/>
  <c r="E36" i="4"/>
  <c r="C71" i="4"/>
  <c r="C99" i="2"/>
  <c r="I35" i="2"/>
  <c r="G39" i="2"/>
  <c r="I69" i="2"/>
  <c r="I98" i="2"/>
  <c r="G40" i="2"/>
  <c r="G35" i="2"/>
  <c r="I38" i="2"/>
  <c r="E70" i="2"/>
  <c r="C66" i="2"/>
  <c r="E36" i="2"/>
  <c r="G100" i="2"/>
  <c r="E99" i="2"/>
  <c r="C24" i="1"/>
  <c r="D25" i="1"/>
  <c r="J187" i="1"/>
  <c r="J2" i="1" s="1"/>
  <c r="C112" i="1"/>
  <c r="C13" i="1"/>
  <c r="C154" i="1"/>
  <c r="C186" i="1"/>
  <c r="F15" i="1"/>
  <c r="F26" i="1" s="1"/>
  <c r="F27" i="1" s="1"/>
  <c r="E215" i="1"/>
  <c r="B41" i="4"/>
  <c r="I213" i="1"/>
  <c r="D154" i="1"/>
  <c r="E184" i="1"/>
  <c r="C152" i="1"/>
  <c r="C184" i="1"/>
  <c r="D15" i="1"/>
  <c r="E182" i="1"/>
  <c r="G16" i="1"/>
  <c r="E152" i="1"/>
  <c r="E150" i="1"/>
  <c r="I183" i="1"/>
  <c r="B121" i="1"/>
  <c r="C67" i="5"/>
  <c r="C96" i="5"/>
  <c r="J101" i="5"/>
  <c r="J4" i="5" s="1"/>
  <c r="F101" i="5"/>
  <c r="G70" i="5"/>
  <c r="C40" i="5"/>
  <c r="G98" i="5"/>
  <c r="I35" i="5"/>
  <c r="E68" i="5"/>
  <c r="H40" i="5"/>
  <c r="G40" i="5" s="1"/>
  <c r="E100" i="5"/>
  <c r="F71" i="5"/>
  <c r="I38" i="5"/>
  <c r="G69" i="5"/>
  <c r="G97" i="5"/>
  <c r="D40" i="5"/>
  <c r="E40" i="5" s="1"/>
  <c r="E66" i="5"/>
  <c r="E70" i="5"/>
  <c r="D101" i="5"/>
  <c r="E101" i="5" s="1"/>
  <c r="C40" i="4"/>
  <c r="B3" i="4"/>
  <c r="B9" i="4"/>
  <c r="B9" i="2"/>
  <c r="B41" i="5"/>
  <c r="B10" i="2"/>
  <c r="B10" i="4"/>
  <c r="C101" i="3"/>
  <c r="B4" i="3"/>
  <c r="C3" i="4"/>
  <c r="B4" i="5"/>
  <c r="C3" i="2"/>
  <c r="B41" i="3"/>
  <c r="C40" i="3"/>
  <c r="B41" i="2"/>
  <c r="C40" i="2"/>
  <c r="B9" i="3"/>
  <c r="G40" i="4"/>
  <c r="F4" i="5"/>
  <c r="H3" i="4"/>
  <c r="I3" i="4" s="1"/>
  <c r="H4" i="4"/>
  <c r="D3" i="2"/>
  <c r="D4" i="2"/>
  <c r="C4" i="2" s="1"/>
  <c r="E40" i="4"/>
  <c r="D4" i="4"/>
  <c r="E101" i="4"/>
  <c r="I40" i="5"/>
  <c r="D71" i="5"/>
  <c r="C71" i="5" s="1"/>
  <c r="J40" i="4"/>
  <c r="I40" i="4" s="1"/>
  <c r="J71" i="2"/>
  <c r="J3" i="2" s="1"/>
  <c r="J9" i="2" s="1"/>
  <c r="F101" i="2"/>
  <c r="E101" i="2" s="1"/>
  <c r="H101" i="2"/>
  <c r="H101" i="3"/>
  <c r="I99" i="4"/>
  <c r="H71" i="2"/>
  <c r="G38" i="5"/>
  <c r="J71" i="5"/>
  <c r="J40" i="5"/>
  <c r="H101" i="5"/>
  <c r="G39" i="4"/>
  <c r="D40" i="2"/>
  <c r="E40" i="2" s="1"/>
  <c r="E98" i="2"/>
  <c r="G96" i="2"/>
  <c r="E99" i="4"/>
  <c r="I68" i="4"/>
  <c r="E9" i="5"/>
  <c r="J40" i="3"/>
  <c r="I40" i="3" s="1"/>
  <c r="E66" i="2"/>
  <c r="I97" i="5"/>
  <c r="G35" i="4"/>
  <c r="G98" i="3"/>
  <c r="G100" i="5"/>
  <c r="E99" i="5"/>
  <c r="F40" i="3"/>
  <c r="G40" i="3" s="1"/>
  <c r="H71" i="3"/>
  <c r="F71" i="4"/>
  <c r="E71" i="4" s="1"/>
  <c r="F4" i="4"/>
  <c r="G4" i="4" s="1"/>
  <c r="G96" i="5"/>
  <c r="D71" i="3"/>
  <c r="C71" i="3" s="1"/>
  <c r="I66" i="4"/>
  <c r="F71" i="3"/>
  <c r="G38" i="4"/>
  <c r="G69" i="2"/>
  <c r="G36" i="2"/>
  <c r="E69" i="4"/>
  <c r="J101" i="2"/>
  <c r="J4" i="2" s="1"/>
  <c r="I69" i="5"/>
  <c r="G38" i="3"/>
  <c r="F71" i="2"/>
  <c r="E71" i="2" s="1"/>
  <c r="I96" i="3"/>
  <c r="E67" i="2"/>
  <c r="B77" i="1"/>
  <c r="B26" i="1"/>
  <c r="B20" i="1"/>
  <c r="F79" i="1"/>
  <c r="J18" i="1"/>
  <c r="J121" i="1" s="1"/>
  <c r="J154" i="1"/>
  <c r="I112" i="1"/>
  <c r="E105" i="1"/>
  <c r="H17" i="1"/>
  <c r="I17" i="1" s="1"/>
  <c r="J26" i="1"/>
  <c r="J27" i="1" s="1"/>
  <c r="E13" i="1"/>
  <c r="H74" i="1"/>
  <c r="I67" i="1" s="1"/>
  <c r="I124" i="1"/>
  <c r="H154" i="1"/>
  <c r="D217" i="1"/>
  <c r="D3" i="1" s="1"/>
  <c r="D10" i="4" s="1"/>
  <c r="E216" i="1"/>
  <c r="J9" i="4"/>
  <c r="G213" i="1"/>
  <c r="E213" i="1"/>
  <c r="F217" i="1"/>
  <c r="G212" i="1"/>
  <c r="H217" i="1"/>
  <c r="I212" i="1"/>
  <c r="J217" i="1"/>
  <c r="J3" i="1" s="1"/>
  <c r="F38" i="1"/>
  <c r="F25" i="1"/>
  <c r="E24" i="1"/>
  <c r="G185" i="1"/>
  <c r="F187" i="1"/>
  <c r="G182" i="1"/>
  <c r="I182" i="1"/>
  <c r="F74" i="1"/>
  <c r="G151" i="1"/>
  <c r="F154" i="1"/>
  <c r="E154" i="1" s="1"/>
  <c r="I216" i="1"/>
  <c r="G216" i="1"/>
  <c r="D10" i="3"/>
  <c r="E17" i="1"/>
  <c r="H15" i="1"/>
  <c r="H24" i="1"/>
  <c r="G13" i="1"/>
  <c r="I56" i="1"/>
  <c r="I51" i="1"/>
  <c r="H41" i="4"/>
  <c r="I154" i="1"/>
  <c r="H41" i="2"/>
  <c r="E151" i="1"/>
  <c r="D187" i="1"/>
  <c r="C187" i="1" s="1"/>
  <c r="E183" i="1"/>
  <c r="D79" i="1"/>
  <c r="D41" i="5"/>
  <c r="D41" i="4"/>
  <c r="D41" i="2"/>
  <c r="D41" i="3"/>
  <c r="J41" i="2"/>
  <c r="J41" i="4"/>
  <c r="H187" i="1"/>
  <c r="I58" i="1"/>
  <c r="J41" i="5"/>
  <c r="J20" i="1"/>
  <c r="I151" i="1"/>
  <c r="B27" i="1" l="1"/>
  <c r="J10" i="5"/>
  <c r="I70" i="1"/>
  <c r="I44" i="1"/>
  <c r="I65" i="1"/>
  <c r="I46" i="1"/>
  <c r="I48" i="1"/>
  <c r="I57" i="1"/>
  <c r="I52" i="1"/>
  <c r="G65" i="1"/>
  <c r="G46" i="1"/>
  <c r="E65" i="1"/>
  <c r="E46" i="1"/>
  <c r="E49" i="1"/>
  <c r="E4" i="4"/>
  <c r="I101" i="4"/>
  <c r="C4" i="4"/>
  <c r="I4" i="4"/>
  <c r="B81" i="1"/>
  <c r="C3" i="1"/>
  <c r="E217" i="1"/>
  <c r="D10" i="2"/>
  <c r="C217" i="1"/>
  <c r="F18" i="1"/>
  <c r="D18" i="1"/>
  <c r="E15" i="1"/>
  <c r="D26" i="1"/>
  <c r="C15" i="1"/>
  <c r="H41" i="5"/>
  <c r="D4" i="5"/>
  <c r="E4" i="5" s="1"/>
  <c r="C101" i="5"/>
  <c r="C4" i="5"/>
  <c r="G71" i="5"/>
  <c r="F3" i="5"/>
  <c r="G3" i="5" s="1"/>
  <c r="B10" i="3"/>
  <c r="C4" i="3"/>
  <c r="I101" i="5"/>
  <c r="H4" i="5"/>
  <c r="I4" i="5" s="1"/>
  <c r="G71" i="3"/>
  <c r="F3" i="3"/>
  <c r="E40" i="3"/>
  <c r="F3" i="4"/>
  <c r="G71" i="4"/>
  <c r="I71" i="5"/>
  <c r="J3" i="5"/>
  <c r="I3" i="5" s="1"/>
  <c r="I101" i="3"/>
  <c r="H4" i="3"/>
  <c r="G101" i="3"/>
  <c r="H3" i="2"/>
  <c r="I3" i="2" s="1"/>
  <c r="I71" i="2"/>
  <c r="F4" i="2"/>
  <c r="G101" i="2"/>
  <c r="G101" i="5"/>
  <c r="J41" i="3"/>
  <c r="F3" i="2"/>
  <c r="G3" i="2" s="1"/>
  <c r="G71" i="2"/>
  <c r="E71" i="3"/>
  <c r="D3" i="3"/>
  <c r="C3" i="3" s="1"/>
  <c r="I71" i="3"/>
  <c r="H3" i="3"/>
  <c r="I101" i="2"/>
  <c r="H4" i="2"/>
  <c r="I4" i="2" s="1"/>
  <c r="E71" i="5"/>
  <c r="D3" i="5"/>
  <c r="G4" i="5"/>
  <c r="B22" i="1"/>
  <c r="B28" i="1" s="1"/>
  <c r="C28" i="1" s="1"/>
  <c r="B89" i="1"/>
  <c r="I45" i="1"/>
  <c r="I61" i="1"/>
  <c r="I41" i="1"/>
  <c r="I49" i="1"/>
  <c r="I69" i="1"/>
  <c r="I39" i="1"/>
  <c r="I55" i="1"/>
  <c r="G17" i="1"/>
  <c r="I74" i="1"/>
  <c r="I38" i="1"/>
  <c r="I43" i="1"/>
  <c r="I63" i="1"/>
  <c r="I66" i="1"/>
  <c r="I54" i="1"/>
  <c r="I64" i="1"/>
  <c r="I71" i="1"/>
  <c r="I73" i="1"/>
  <c r="I68" i="1"/>
  <c r="I53" i="1"/>
  <c r="I47" i="1"/>
  <c r="I72" i="1"/>
  <c r="I42" i="1"/>
  <c r="I40" i="1"/>
  <c r="I60" i="1"/>
  <c r="I62" i="1"/>
  <c r="I59" i="1"/>
  <c r="I50" i="1"/>
  <c r="G71" i="1"/>
  <c r="G45" i="1"/>
  <c r="G51" i="1"/>
  <c r="G70" i="1"/>
  <c r="G64" i="1"/>
  <c r="G58" i="1"/>
  <c r="G61" i="1"/>
  <c r="G56" i="1"/>
  <c r="G39" i="1"/>
  <c r="G52" i="1"/>
  <c r="G66" i="1"/>
  <c r="G48" i="1"/>
  <c r="G55" i="1"/>
  <c r="G53" i="1"/>
  <c r="G59" i="1"/>
  <c r="G72" i="1"/>
  <c r="G60" i="1"/>
  <c r="G49" i="1"/>
  <c r="G50" i="1"/>
  <c r="G69" i="1"/>
  <c r="G47" i="1"/>
  <c r="G44" i="1"/>
  <c r="G74" i="1"/>
  <c r="G43" i="1"/>
  <c r="G63" i="1"/>
  <c r="G40" i="1"/>
  <c r="G62" i="1"/>
  <c r="G67" i="1"/>
  <c r="G73" i="1"/>
  <c r="G68" i="1"/>
  <c r="G54" i="1"/>
  <c r="G38" i="1"/>
  <c r="F41" i="2"/>
  <c r="F41" i="3"/>
  <c r="F41" i="5"/>
  <c r="F41" i="4"/>
  <c r="G154" i="1"/>
  <c r="E39" i="1"/>
  <c r="E67" i="1"/>
  <c r="E55" i="1"/>
  <c r="E57" i="1"/>
  <c r="E73" i="1"/>
  <c r="E51" i="1"/>
  <c r="E47" i="1"/>
  <c r="E43" i="1"/>
  <c r="E41" i="1"/>
  <c r="E63" i="1"/>
  <c r="E50" i="1"/>
  <c r="E60" i="1"/>
  <c r="E45" i="1"/>
  <c r="E40" i="1"/>
  <c r="E69" i="1"/>
  <c r="E66" i="1"/>
  <c r="E52" i="1"/>
  <c r="E44" i="1"/>
  <c r="E59" i="1"/>
  <c r="E38" i="1"/>
  <c r="E56" i="1"/>
  <c r="E74" i="1"/>
  <c r="E70" i="1"/>
  <c r="E72" i="1"/>
  <c r="E53" i="1"/>
  <c r="E48" i="1"/>
  <c r="E71" i="1"/>
  <c r="E54" i="1"/>
  <c r="E61" i="1"/>
  <c r="E64" i="1"/>
  <c r="D77" i="1"/>
  <c r="E58" i="1"/>
  <c r="E68" i="1"/>
  <c r="I217" i="1"/>
  <c r="H3" i="1"/>
  <c r="J22" i="1"/>
  <c r="J81" i="1"/>
  <c r="J89" i="1" s="1"/>
  <c r="J99" i="1" s="1"/>
  <c r="J113" i="1" s="1"/>
  <c r="J117" i="1" s="1"/>
  <c r="H114" i="1" s="1"/>
  <c r="I114" i="1" s="1"/>
  <c r="I187" i="1"/>
  <c r="H2" i="1"/>
  <c r="I24" i="1"/>
  <c r="H25" i="1"/>
  <c r="F20" i="1"/>
  <c r="E18" i="1"/>
  <c r="F121" i="1"/>
  <c r="E62" i="1"/>
  <c r="D2" i="1"/>
  <c r="C2" i="1" s="1"/>
  <c r="E187" i="1"/>
  <c r="H26" i="1"/>
  <c r="G15" i="1"/>
  <c r="I15" i="1"/>
  <c r="H18" i="1"/>
  <c r="G57" i="1"/>
  <c r="F2" i="1"/>
  <c r="G187" i="1"/>
  <c r="G24" i="1"/>
  <c r="G41" i="1"/>
  <c r="J10" i="2"/>
  <c r="J10" i="4"/>
  <c r="J10" i="3"/>
  <c r="F3" i="1"/>
  <c r="G217" i="1"/>
  <c r="G3" i="3" l="1"/>
  <c r="G4" i="2"/>
  <c r="D27" i="1"/>
  <c r="E26" i="1"/>
  <c r="D121" i="1"/>
  <c r="C18" i="1"/>
  <c r="D20" i="1"/>
  <c r="C26" i="1"/>
  <c r="E3" i="5"/>
  <c r="C3" i="5"/>
  <c r="E3" i="3"/>
  <c r="G3" i="4"/>
  <c r="E3" i="4"/>
  <c r="E4" i="2"/>
  <c r="H10" i="3"/>
  <c r="I4" i="3"/>
  <c r="G4" i="3"/>
  <c r="I3" i="3"/>
  <c r="H9" i="3"/>
  <c r="E3" i="2"/>
  <c r="B34" i="1"/>
  <c r="B99" i="1"/>
  <c r="J28" i="1"/>
  <c r="J34" i="1" s="1"/>
  <c r="J29" i="1"/>
  <c r="G2" i="1"/>
  <c r="F9" i="2"/>
  <c r="F9" i="3"/>
  <c r="F9" i="4"/>
  <c r="F10" i="2"/>
  <c r="F10" i="3"/>
  <c r="F10" i="4"/>
  <c r="G3" i="1"/>
  <c r="E3" i="1"/>
  <c r="H27" i="1"/>
  <c r="I26" i="1"/>
  <c r="G26" i="1"/>
  <c r="I18" i="1"/>
  <c r="H121" i="1"/>
  <c r="H20" i="1"/>
  <c r="G20" i="1" s="1"/>
  <c r="G18" i="1"/>
  <c r="I2" i="1"/>
  <c r="H9" i="2"/>
  <c r="H9" i="4"/>
  <c r="H10" i="2"/>
  <c r="I3" i="1"/>
  <c r="H10" i="4"/>
  <c r="D9" i="4"/>
  <c r="E2" i="1"/>
  <c r="D9" i="3"/>
  <c r="D9" i="2"/>
  <c r="F81" i="1"/>
  <c r="F22" i="1"/>
  <c r="E20" i="1"/>
  <c r="D22" i="1" l="1"/>
  <c r="C20" i="1"/>
  <c r="D81" i="1"/>
  <c r="E81" i="1" s="1"/>
  <c r="B113" i="1"/>
  <c r="F89" i="1"/>
  <c r="F29" i="1"/>
  <c r="F28" i="1"/>
  <c r="I20" i="1"/>
  <c r="H22" i="1"/>
  <c r="G22" i="1" s="1"/>
  <c r="H81" i="1"/>
  <c r="G81" i="1" s="1"/>
  <c r="C22" i="1" l="1"/>
  <c r="D29" i="1"/>
  <c r="D28" i="1"/>
  <c r="D89" i="1"/>
  <c r="C81" i="1"/>
  <c r="E22" i="1"/>
  <c r="F34" i="1"/>
  <c r="E28" i="1"/>
  <c r="I81" i="1"/>
  <c r="H89" i="1"/>
  <c r="G89" i="1" s="1"/>
  <c r="H29" i="1"/>
  <c r="H28" i="1"/>
  <c r="I22" i="1"/>
  <c r="F99" i="1"/>
  <c r="D99" i="1" l="1"/>
  <c r="E99" i="1" s="1"/>
  <c r="C89" i="1"/>
  <c r="C34" i="1"/>
  <c r="E89" i="1"/>
  <c r="F113" i="1"/>
  <c r="H34" i="1"/>
  <c r="I34" i="1" s="1"/>
  <c r="I28" i="1"/>
  <c r="E34" i="1"/>
  <c r="I89" i="1"/>
  <c r="H99" i="1"/>
  <c r="G99" i="1" s="1"/>
  <c r="G28" i="1"/>
  <c r="D113" i="1" l="1"/>
  <c r="C113" i="1" s="1"/>
  <c r="C99" i="1"/>
  <c r="G34" i="1"/>
  <c r="H113" i="1"/>
  <c r="G113" i="1" s="1"/>
  <c r="I99" i="1"/>
  <c r="E113" i="1"/>
  <c r="I113" i="1" l="1"/>
  <c r="H117" i="1"/>
  <c r="F114" i="1" l="1"/>
  <c r="I117" i="1"/>
  <c r="G114" i="1" l="1"/>
  <c r="F117" i="1"/>
  <c r="D114" i="1" l="1"/>
  <c r="G117" i="1"/>
  <c r="E114" i="1" l="1"/>
  <c r="D117" i="1"/>
  <c r="E117" i="1" l="1"/>
  <c r="B114" i="1"/>
  <c r="C114" i="1" l="1"/>
  <c r="B117" i="1"/>
</calcChain>
</file>

<file path=xl/sharedStrings.xml><?xml version="1.0" encoding="utf-8"?>
<sst xmlns="http://schemas.openxmlformats.org/spreadsheetml/2006/main" count="617" uniqueCount="159">
  <si>
    <t>STRABAG SE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</si>
  <si>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</si>
  <si>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</si>
  <si>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</si>
  <si>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</si>
  <si>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</si>
  <si>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</si>
  <si>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</si>
  <si>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Other operating expenses </t>
  </si>
  <si>
    <t xml:space="preserve">Share of profit or loss of associates 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</si>
  <si>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</si>
  <si>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</si>
  <si>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</si>
  <si>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</si>
  <si>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</si>
  <si>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</si>
  <si>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</si>
  <si>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</si>
  <si>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</si>
  <si>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</si>
  <si>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</si>
  <si>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</si>
  <si>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per share</t>
  </si>
  <si>
    <t>Dividend Payout Ratio</t>
  </si>
  <si>
    <t>ROCE in %</t>
  </si>
  <si>
    <t>Non-current assets</t>
  </si>
  <si>
    <t xml:space="preserve">Intangible assets </t>
  </si>
  <si>
    <t xml:space="preserve">Property, plant and equipment </t>
  </si>
  <si>
    <t xml:space="preserve">Investment property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</si>
  <si>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</si>
  <si>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</si>
  <si>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</si>
  <si>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</si>
  <si>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</si>
  <si>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</si>
  <si>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</si>
  <si>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</si>
  <si>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Group equity</t>
  </si>
  <si>
    <t xml:space="preserve">Share capital </t>
  </si>
  <si>
    <t xml:space="preserve">Capital reserves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</si>
  <si>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</si>
  <si>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</si>
  <si>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</si>
  <si>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</si>
  <si>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</si>
  <si>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</si>
  <si>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</si>
  <si>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</si>
  <si>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</si>
  <si>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</si>
  <si>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</si>
  <si>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</si>
  <si>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WC as % of revenue</t>
  </si>
  <si>
    <t>Net income</t>
  </si>
  <si>
    <t>Non-cash effective results from consolidation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</si>
  <si>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</si>
  <si>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</si>
  <si>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</si>
  <si>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</si>
  <si>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</si>
  <si>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</si>
  <si>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</si>
  <si>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</si>
  <si>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</si>
  <si>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</si>
  <si>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</si>
  <si>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</si>
  <si>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</si>
  <si>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</si>
  <si>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</si>
  <si>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</si>
  <si>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>Change in other cash clearing receivables</t>
  </si>
  <si>
    <t xml:space="preserve">Change in scope of consolidation </t>
  </si>
  <si>
    <t xml:space="preserve">Cash flow from investing activities </t>
  </si>
  <si>
    <t>Change in non-controlling interest due to acquisitions</t>
  </si>
  <si>
    <t xml:space="preserve">Cash flow from financing activities </t>
  </si>
  <si>
    <t xml:space="preserve">Net change in cash and cash equivalents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</si>
  <si>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</si>
  <si>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</si>
  <si>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</si>
  <si>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</si>
  <si>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</si>
  <si>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</si>
  <si>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</si>
  <si>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</si>
  <si>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</si>
  <si>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</si>
  <si>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</si>
  <si>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</si>
  <si>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</si>
  <si>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</si>
  <si>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</si>
  <si>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</si>
  <si>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</si>
  <si>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</si>
  <si>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</si>
  <si>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</si>
  <si>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</si>
  <si>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</si>
  <si>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</si>
  <si>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</si>
  <si>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</si>
  <si>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</si>
  <si>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</si>
  <si>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</si>
  <si>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</si>
  <si>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</si>
  <si>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</si>
  <si>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</si>
  <si>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</si>
  <si>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</si>
  <si>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</si>
  <si>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</si>
  <si>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</si>
  <si>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</si>
  <si>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</si>
  <si>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</si>
  <si>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</si>
  <si>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</si>
  <si>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</si>
  <si>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</si>
  <si>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INTERNATIONAL + SPECIAL DIVISIONS</t>
  </si>
  <si>
    <t>SOUTH + EAST</t>
  </si>
  <si>
    <t>OTHER</t>
  </si>
  <si>
    <t>EBIT*</t>
  </si>
  <si>
    <t>CHECK</t>
  </si>
  <si>
    <t>EBT</t>
  </si>
  <si>
    <t>EBITDA</t>
  </si>
  <si>
    <t>* In order to reconcile the segment EBIT and EBT to the group EBIT and EBT acc. to IFRS add</t>
  </si>
  <si>
    <t>Assets held for sale</t>
  </si>
  <si>
    <t>% 2015-2016</t>
  </si>
  <si>
    <t>2016: % of balance sheet total</t>
  </si>
  <si>
    <t>Russia</t>
  </si>
  <si>
    <t>Inflows from asset disposals</t>
  </si>
  <si>
    <t>2017: % of balance sheet total</t>
  </si>
  <si>
    <t>% 2016-2017</t>
  </si>
  <si>
    <t>% 2016/2017</t>
  </si>
  <si>
    <t>Employee benefits expenses</t>
  </si>
  <si>
    <t>Other investments</t>
  </si>
  <si>
    <t>Equity-accounted investments</t>
  </si>
  <si>
    <t>Receivables from concession arrangements</t>
  </si>
  <si>
    <t>Retained earnings and other reserves</t>
  </si>
  <si>
    <t>Other non-cash effective results</t>
  </si>
  <si>
    <t>Non-cash effective results from equity-accounted investments</t>
  </si>
  <si>
    <t>Issue &amp; Repayment of bank borrowings</t>
  </si>
  <si>
    <t>Change in other financing liabilities</t>
  </si>
  <si>
    <t>Distribution of dividends</t>
  </si>
  <si>
    <t>Cash and cash equivalents at the beginning of the period</t>
  </si>
  <si>
    <t>% 9M/2017-9M/2018</t>
  </si>
  <si>
    <t>Rights from concession arrangements</t>
  </si>
  <si>
    <t>Change in bonds / bonded loans</t>
  </si>
  <si>
    <t>% 2017-2018</t>
  </si>
  <si>
    <t>2018: % of balance sheet total</t>
  </si>
  <si>
    <t>Contract assets</t>
  </si>
  <si>
    <t xml:space="preserve">Contract liabilities </t>
  </si>
  <si>
    <t>2019: % of balance sheet total</t>
  </si>
  <si>
    <t>% 2018-2019</t>
  </si>
  <si>
    <t>Change in lease liabilities</t>
  </si>
  <si>
    <t>Purchase of property, plant, equipment and intangible assets and lease right of use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</si>
</sst>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$&quot;#,##0_);[Red]\(&quot;$&quot;#,##0\)"/>
    <numFmt numFmtId="165" formatCode="0.0%"/>
    <numFmt numFmtId="166" formatCode="0.0"/>
    <numFmt numFmtId="167" formatCode="_-* #,##0.00\ [$€]_-;\-* #,##0.00\ [$€]_-;_-* &quot;-&quot;??\ [$€]_-;_-@_-"/>
    <numFmt numFmtId="168" formatCode="#,##0.0_);\(#,##0.0\)"/>
    <numFmt numFmtId="169" formatCode="#,##0;[Red]&quot;-&quot;#,##0"/>
    <numFmt numFmtId="170" formatCode="0.0\ &quot;&quot;"/>
    <numFmt numFmtId="171" formatCode="#,##0.00_ ;[Red]\-#,##0.00\ "/>
  </numFmts>
  <fonts count="64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AvantGarde"/>
    </font>
    <font>
      <b/>
      <sz val="10"/>
      <name val="CG Times"/>
    </font>
    <font>
      <b/>
      <sz val="8"/>
      <name val="CG Times"/>
    </font>
    <font>
      <sz val="10"/>
      <name val="Helv"/>
    </font>
    <font>
      <sz val="9"/>
      <name val="Futura UBS Bk"/>
      <family val="2"/>
    </font>
    <font>
      <sz val="10"/>
      <name val="MS Sans Serif"/>
      <family val="2"/>
    </font>
    <font>
      <sz val="10"/>
      <color indexed="14"/>
      <name val="Arial"/>
      <family val="2"/>
    </font>
    <font>
      <sz val="10"/>
      <name val="Arial CE"/>
      <charset val="238"/>
    </font>
    <font>
      <b/>
      <sz val="2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sz val="12"/>
      <name val="Bookman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 style="thin">
        <color auto="1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FF0000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</borders>
  <cellStyleXfs count="160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3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2" borderId="0" applyNumberFormat="0" applyBorder="0" applyAlignment="0" applyProtection="0"/>
    <xf numFmtId="0" fontId="17" fillId="33" borderId="15" applyNumberFormat="0" applyAlignment="0" applyProtection="0"/>
    <xf numFmtId="0" fontId="18" fillId="33" borderId="16" applyNumberFormat="0" applyAlignment="0" applyProtection="0"/>
    <xf numFmtId="0" fontId="19" fillId="20" borderId="16" applyNumberFormat="0" applyAlignment="0" applyProtection="0"/>
    <xf numFmtId="0" fontId="20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3" fillId="34" borderId="0" applyNumberFormat="0" applyBorder="0" applyAlignment="0" applyProtection="0"/>
    <xf numFmtId="0" fontId="15" fillId="35" borderId="18" applyNumberFormat="0" applyFont="0" applyAlignment="0" applyProtection="0"/>
    <xf numFmtId="0" fontId="24" fillId="16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22" applyNumberFormat="0" applyFill="0" applyAlignment="0" applyProtection="0"/>
    <xf numFmtId="0" fontId="30" fillId="0" borderId="0" applyNumberFormat="0" applyFill="0" applyBorder="0" applyAlignment="0" applyProtection="0"/>
    <xf numFmtId="0" fontId="31" fillId="36" borderId="23" applyNumberFormat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32" fillId="0" borderId="0" applyProtection="0"/>
    <xf numFmtId="0" fontId="5" fillId="0" borderId="0"/>
    <xf numFmtId="0" fontId="33" fillId="0" borderId="0" applyProtection="0"/>
    <xf numFmtId="0" fontId="34" fillId="0" borderId="0" applyProtection="0"/>
    <xf numFmtId="167" fontId="5" fillId="0" borderId="0" applyFont="0" applyFill="0" applyBorder="0" applyAlignment="0" applyProtection="0"/>
    <xf numFmtId="0" fontId="35" fillId="0" borderId="0" applyNumberFormat="0" applyFont="0" applyFill="0" applyBorder="0" applyAlignment="0"/>
    <xf numFmtId="0" fontId="5" fillId="0" borderId="0" applyNumberFormat="0" applyFill="0" applyBorder="0" applyAlignment="0"/>
    <xf numFmtId="168" fontId="36" fillId="37" borderId="1" applyNumberFormat="0" applyFont="0" applyBorder="0" applyAlignment="0"/>
    <xf numFmtId="169" fontId="37" fillId="0" borderId="0" applyFont="0" applyFill="0" applyBorder="0" applyAlignment="0" applyProtection="0"/>
    <xf numFmtId="3" fontId="38" fillId="0" borderId="8" applyNumberFormat="0" applyFill="0" applyBorder="0" applyAlignment="0">
      <protection locked="0"/>
    </xf>
    <xf numFmtId="0" fontId="39" fillId="0" borderId="0"/>
    <xf numFmtId="0" fontId="5" fillId="0" borderId="24" applyNumberFormat="0" applyFont="0" applyFill="0" applyAlignment="0" applyProtection="0"/>
    <xf numFmtId="0" fontId="5" fillId="0" borderId="25" applyNumberFormat="0" applyFont="0" applyFill="0" applyAlignment="0" applyProtection="0"/>
    <xf numFmtId="0" fontId="5" fillId="0" borderId="26" applyNumberFormat="0" applyFont="0" applyFill="0" applyAlignment="0" applyProtection="0"/>
    <xf numFmtId="0" fontId="5" fillId="38" borderId="0" applyNumberFormat="0" applyFont="0" applyBorder="0" applyAlignment="0" applyProtection="0"/>
    <xf numFmtId="0" fontId="40" fillId="0" borderId="0">
      <protection locked="0"/>
    </xf>
    <xf numFmtId="9" fontId="41" fillId="0" borderId="0">
      <protection locked="0"/>
    </xf>
    <xf numFmtId="9" fontId="42" fillId="0" borderId="0">
      <protection locked="0"/>
    </xf>
    <xf numFmtId="164" fontId="37" fillId="0" borderId="0" applyFont="0" applyFill="0" applyBorder="0" applyAlignment="0" applyProtection="0"/>
    <xf numFmtId="170" fontId="43" fillId="0" borderId="27" applyFont="0" applyFill="0" applyBorder="0" applyProtection="0">
      <alignment horizontal="right"/>
    </xf>
    <xf numFmtId="0" fontId="14" fillId="0" borderId="28" applyNumberFormat="0" applyFont="0" applyFill="0" applyBorder="0" applyProtection="0">
      <alignment horizontal="centerContinuous"/>
    </xf>
    <xf numFmtId="0" fontId="5" fillId="0" borderId="0"/>
    <xf numFmtId="9" fontId="5" fillId="0" borderId="0" applyFont="0" applyFill="0" applyBorder="0" applyAlignment="0" applyProtection="0"/>
    <xf numFmtId="0" fontId="44" fillId="0" borderId="0"/>
    <xf numFmtId="0" fontId="45" fillId="0" borderId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54" borderId="0" applyNumberFormat="0" applyBorder="0" applyAlignment="0" applyProtection="0"/>
    <xf numFmtId="0" fontId="48" fillId="58" borderId="0" applyNumberFormat="0" applyBorder="0" applyAlignment="0" applyProtection="0"/>
    <xf numFmtId="0" fontId="48" fillId="62" borderId="0" applyNumberFormat="0" applyBorder="0" applyAlignment="0" applyProtection="0"/>
    <xf numFmtId="0" fontId="48" fillId="66" borderId="0" applyNumberFormat="0" applyBorder="0" applyAlignment="0" applyProtection="0"/>
    <xf numFmtId="0" fontId="48" fillId="47" borderId="0" applyNumberFormat="0" applyBorder="0" applyAlignment="0" applyProtection="0"/>
    <xf numFmtId="0" fontId="48" fillId="51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49" fillId="45" borderId="0" applyNumberFormat="0" applyBorder="0" applyAlignment="0" applyProtection="0"/>
    <xf numFmtId="0" fontId="49" fillId="49" borderId="0" applyNumberFormat="0" applyBorder="0" applyAlignment="0" applyProtection="0"/>
    <xf numFmtId="0" fontId="49" fillId="53" borderId="0" applyNumberFormat="0" applyBorder="0" applyAlignment="0" applyProtection="0"/>
    <xf numFmtId="0" fontId="49" fillId="57" borderId="0" applyNumberFormat="0" applyBorder="0" applyAlignment="0" applyProtection="0"/>
    <xf numFmtId="0" fontId="49" fillId="61" borderId="0" applyNumberFormat="0" applyBorder="0" applyAlignment="0" applyProtection="0"/>
    <xf numFmtId="0" fontId="49" fillId="65" borderId="0" applyNumberFormat="0" applyBorder="0" applyAlignment="0" applyProtection="0"/>
    <xf numFmtId="0" fontId="50" fillId="40" borderId="0" applyNumberFormat="0" applyBorder="0" applyAlignment="0" applyProtection="0"/>
    <xf numFmtId="0" fontId="51" fillId="42" borderId="32" applyNumberFormat="0" applyAlignment="0" applyProtection="0"/>
    <xf numFmtId="0" fontId="52" fillId="43" borderId="35" applyNumberFormat="0" applyAlignment="0" applyProtection="0"/>
    <xf numFmtId="0" fontId="54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56" fillId="0" borderId="29" applyNumberFormat="0" applyFill="0" applyAlignment="0" applyProtection="0"/>
    <xf numFmtId="0" fontId="57" fillId="0" borderId="30" applyNumberFormat="0" applyFill="0" applyAlignment="0" applyProtection="0"/>
    <xf numFmtId="0" fontId="58" fillId="0" borderId="31" applyNumberFormat="0" applyFill="0" applyAlignment="0" applyProtection="0"/>
    <xf numFmtId="0" fontId="58" fillId="0" borderId="0" applyNumberFormat="0" applyFill="0" applyBorder="0" applyAlignment="0" applyProtection="0"/>
    <xf numFmtId="0" fontId="59" fillId="41" borderId="32" applyNumberFormat="0" applyAlignment="0" applyProtection="0"/>
    <xf numFmtId="0" fontId="60" fillId="0" borderId="34" applyNumberFormat="0" applyFill="0" applyAlignment="0" applyProtection="0"/>
    <xf numFmtId="0" fontId="53" fillId="44" borderId="36" applyNumberFormat="0" applyFont="0" applyAlignment="0" applyProtection="0"/>
    <xf numFmtId="0" fontId="61" fillId="42" borderId="33" applyNumberFormat="0" applyAlignment="0" applyProtection="0"/>
    <xf numFmtId="0" fontId="46" fillId="0" borderId="0" applyNumberFormat="0" applyFill="0" applyBorder="0" applyAlignment="0" applyProtection="0"/>
    <xf numFmtId="0" fontId="62" fillId="0" borderId="37" applyNumberFormat="0" applyFill="0" applyAlignment="0" applyProtection="0"/>
    <xf numFmtId="0" fontId="63" fillId="0" borderId="0" applyNumberForma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/>
    <xf numFmtId="0" fontId="47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430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4" fontId="7" fillId="4" borderId="1" xfId="0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wrapText="1"/>
    </xf>
    <xf numFmtId="4" fontId="7" fillId="4" borderId="1" xfId="0" applyNumberFormat="1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9" fontId="8" fillId="4" borderId="1" xfId="1" applyNumberFormat="1" applyFont="1" applyFill="1" applyBorder="1" applyAlignment="1">
      <alignment horizontal="right" wrapText="1"/>
    </xf>
    <xf numFmtId="0" fontId="8" fillId="3" borderId="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165" fontId="8" fillId="4" borderId="1" xfId="1" applyNumberFormat="1" applyFont="1" applyFill="1" applyBorder="1" applyAlignment="1">
      <alignment wrapText="1"/>
    </xf>
    <xf numFmtId="3" fontId="8" fillId="4" borderId="1" xfId="0" applyNumberFormat="1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right" wrapText="1"/>
    </xf>
    <xf numFmtId="9" fontId="8" fillId="4" borderId="1" xfId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3" fontId="8" fillId="0" borderId="1" xfId="0" applyNumberFormat="1" applyFont="1" applyBorder="1"/>
    <xf numFmtId="3" fontId="8" fillId="0" borderId="10" xfId="0" applyNumberFormat="1" applyFont="1" applyBorder="1"/>
    <xf numFmtId="3" fontId="7" fillId="4" borderId="1" xfId="0" applyNumberFormat="1" applyFont="1" applyFill="1" applyBorder="1" applyAlignment="1">
      <alignment horizontal="right" wrapText="1"/>
    </xf>
    <xf numFmtId="3" fontId="7" fillId="0" borderId="11" xfId="0" applyNumberFormat="1" applyFont="1" applyBorder="1"/>
    <xf numFmtId="0" fontId="8" fillId="4" borderId="3" xfId="0" applyFont="1" applyFill="1" applyBorder="1" applyAlignment="1">
      <alignment horizontal="right" wrapText="1"/>
    </xf>
    <xf numFmtId="0" fontId="7" fillId="4" borderId="1" xfId="0" applyFont="1" applyFill="1" applyBorder="1"/>
    <xf numFmtId="0" fontId="8" fillId="3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7" fillId="7" borderId="1" xfId="0" applyFont="1" applyFill="1" applyBorder="1"/>
    <xf numFmtId="4" fontId="7" fillId="7" borderId="1" xfId="0" applyNumberFormat="1" applyFont="1" applyFill="1" applyBorder="1" applyAlignment="1">
      <alignment horizontal="right"/>
    </xf>
    <xf numFmtId="0" fontId="7" fillId="6" borderId="1" xfId="0" applyFont="1" applyFill="1" applyBorder="1"/>
    <xf numFmtId="0" fontId="8" fillId="7" borderId="1" xfId="0" applyFont="1" applyFill="1" applyBorder="1"/>
    <xf numFmtId="165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right"/>
    </xf>
    <xf numFmtId="0" fontId="7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wrapText="1"/>
    </xf>
    <xf numFmtId="3" fontId="8" fillId="7" borderId="2" xfId="0" applyNumberFormat="1" applyFont="1" applyFill="1" applyBorder="1"/>
    <xf numFmtId="3" fontId="8" fillId="0" borderId="9" xfId="0" applyNumberFormat="1" applyFont="1" applyBorder="1"/>
    <xf numFmtId="3" fontId="8" fillId="7" borderId="4" xfId="0" applyNumberFormat="1" applyFont="1" applyFill="1" applyBorder="1" applyAlignment="1">
      <alignment horizontal="right" wrapText="1"/>
    </xf>
    <xf numFmtId="0" fontId="8" fillId="7" borderId="1" xfId="0" applyFont="1" applyFill="1" applyBorder="1" applyAlignment="1">
      <alignment horizontal="right" wrapText="1"/>
    </xf>
    <xf numFmtId="3" fontId="8" fillId="7" borderId="1" xfId="0" applyNumberFormat="1" applyFont="1" applyFill="1" applyBorder="1"/>
    <xf numFmtId="3" fontId="8" fillId="7" borderId="4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0" fontId="11" fillId="7" borderId="1" xfId="0" applyFont="1" applyFill="1" applyBorder="1" applyAlignment="1">
      <alignment wrapText="1"/>
    </xf>
    <xf numFmtId="9" fontId="11" fillId="7" borderId="4" xfId="1" applyFont="1" applyFill="1" applyBorder="1" applyAlignment="1">
      <alignment horizontal="right" wrapText="1"/>
    </xf>
    <xf numFmtId="0" fontId="12" fillId="3" borderId="1" xfId="0" applyFont="1" applyFill="1" applyBorder="1" applyAlignment="1">
      <alignment wrapText="1"/>
    </xf>
    <xf numFmtId="0" fontId="12" fillId="4" borderId="1" xfId="0" applyFont="1" applyFill="1" applyBorder="1" applyAlignment="1">
      <alignment wrapText="1"/>
    </xf>
    <xf numFmtId="4" fontId="8" fillId="7" borderId="2" xfId="0" applyNumberFormat="1" applyFont="1" applyFill="1" applyBorder="1"/>
    <xf numFmtId="4" fontId="8" fillId="7" borderId="4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8" fillId="7" borderId="4" xfId="0" applyNumberFormat="1" applyFont="1" applyFill="1" applyBorder="1"/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7" fillId="7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/>
    <xf numFmtId="0" fontId="8" fillId="8" borderId="1" xfId="0" applyFont="1" applyFill="1" applyBorder="1"/>
    <xf numFmtId="0" fontId="7" fillId="10" borderId="1" xfId="0" applyFont="1" applyFill="1" applyBorder="1"/>
    <xf numFmtId="4" fontId="7" fillId="10" borderId="1" xfId="0" applyNumberFormat="1" applyFont="1" applyFill="1" applyBorder="1" applyAlignment="1">
      <alignment horizontal="right"/>
    </xf>
    <xf numFmtId="0" fontId="7" fillId="8" borderId="1" xfId="0" applyFont="1" applyFill="1" applyBorder="1"/>
    <xf numFmtId="0" fontId="8" fillId="10" borderId="1" xfId="0" applyFont="1" applyFill="1" applyBorder="1"/>
    <xf numFmtId="165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0" fontId="8" fillId="10" borderId="1" xfId="0" applyFont="1" applyFill="1" applyBorder="1" applyAlignment="1">
      <alignment horizontal="right"/>
    </xf>
    <xf numFmtId="0" fontId="7" fillId="10" borderId="1" xfId="0" applyFont="1" applyFill="1" applyBorder="1" applyAlignment="1">
      <alignment horizontal="right" wrapText="1"/>
    </xf>
    <xf numFmtId="0" fontId="8" fillId="10" borderId="1" xfId="0" applyFont="1" applyFill="1" applyBorder="1" applyAlignment="1">
      <alignment wrapText="1"/>
    </xf>
    <xf numFmtId="3" fontId="8" fillId="10" borderId="2" xfId="0" applyNumberFormat="1" applyFont="1" applyFill="1" applyBorder="1"/>
    <xf numFmtId="9" fontId="8" fillId="4" borderId="4" xfId="1" applyNumberFormat="1" applyFont="1" applyFill="1" applyBorder="1" applyAlignment="1">
      <alignment horizontal="right" wrapText="1"/>
    </xf>
    <xf numFmtId="3" fontId="8" fillId="10" borderId="4" xfId="0" applyNumberFormat="1" applyFont="1" applyFill="1" applyBorder="1" applyAlignment="1">
      <alignment horizontal="right" wrapText="1"/>
    </xf>
    <xf numFmtId="0" fontId="8" fillId="10" borderId="1" xfId="0" applyFont="1" applyFill="1" applyBorder="1" applyAlignment="1">
      <alignment horizontal="right" wrapText="1"/>
    </xf>
    <xf numFmtId="9" fontId="8" fillId="4" borderId="13" xfId="1" applyNumberFormat="1" applyFont="1" applyFill="1" applyBorder="1" applyAlignment="1">
      <alignment horizontal="right" wrapText="1"/>
    </xf>
    <xf numFmtId="3" fontId="8" fillId="10" borderId="1" xfId="0" applyNumberFormat="1" applyFont="1" applyFill="1" applyBorder="1"/>
    <xf numFmtId="3" fontId="8" fillId="10" borderId="4" xfId="0" applyNumberFormat="1" applyFont="1" applyFill="1" applyBorder="1"/>
    <xf numFmtId="0" fontId="7" fillId="10" borderId="1" xfId="0" applyFont="1" applyFill="1" applyBorder="1" applyAlignment="1">
      <alignment wrapText="1"/>
    </xf>
    <xf numFmtId="3" fontId="7" fillId="10" borderId="4" xfId="0" applyNumberFormat="1" applyFont="1" applyFill="1" applyBorder="1" applyAlignment="1">
      <alignment horizontal="right" wrapText="1"/>
    </xf>
    <xf numFmtId="9" fontId="7" fillId="4" borderId="4" xfId="1" applyNumberFormat="1" applyFont="1" applyFill="1" applyBorder="1" applyAlignment="1">
      <alignment horizontal="right" wrapText="1"/>
    </xf>
    <xf numFmtId="0" fontId="11" fillId="10" borderId="1" xfId="0" applyFont="1" applyFill="1" applyBorder="1" applyAlignment="1">
      <alignment wrapText="1"/>
    </xf>
    <xf numFmtId="9" fontId="11" fillId="10" borderId="4" xfId="1" applyFont="1" applyFill="1" applyBorder="1" applyAlignment="1">
      <alignment horizontal="right" wrapText="1"/>
    </xf>
    <xf numFmtId="9" fontId="11" fillId="4" borderId="4" xfId="1" applyNumberFormat="1" applyFont="1" applyFill="1" applyBorder="1" applyAlignment="1">
      <alignment horizontal="right" wrapText="1"/>
    </xf>
    <xf numFmtId="3" fontId="11" fillId="4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4" fontId="8" fillId="10" borderId="2" xfId="0" applyNumberFormat="1" applyFont="1" applyFill="1" applyBorder="1"/>
    <xf numFmtId="4" fontId="8" fillId="10" borderId="4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8" fillId="10" borderId="4" xfId="0" applyNumberFormat="1" applyFont="1" applyFill="1" applyBorder="1"/>
    <xf numFmtId="4" fontId="7" fillId="10" borderId="1" xfId="0" applyNumberFormat="1" applyFont="1" applyFill="1" applyBorder="1"/>
    <xf numFmtId="4" fontId="7" fillId="10" borderId="1" xfId="0" applyNumberFormat="1" applyFont="1" applyFill="1" applyBorder="1" applyAlignment="1">
      <alignment wrapText="1"/>
    </xf>
    <xf numFmtId="4" fontId="7" fillId="10" borderId="1" xfId="0" applyNumberFormat="1" applyFont="1" applyFill="1" applyBorder="1" applyAlignment="1">
      <alignment horizontal="right" wrapText="1"/>
    </xf>
    <xf numFmtId="0" fontId="8" fillId="8" borderId="1" xfId="0" applyFont="1" applyFill="1" applyBorder="1" applyAlignment="1">
      <alignment horizontal="right"/>
    </xf>
    <xf numFmtId="0" fontId="6" fillId="2" borderId="1" xfId="0" applyFont="1" applyFill="1" applyBorder="1"/>
    <xf numFmtId="0" fontId="8" fillId="9" borderId="1" xfId="0" applyFont="1" applyFill="1" applyBorder="1"/>
    <xf numFmtId="0" fontId="7" fillId="11" borderId="1" xfId="0" applyFont="1" applyFill="1" applyBorder="1"/>
    <xf numFmtId="4" fontId="7" fillId="11" borderId="1" xfId="0" applyNumberFormat="1" applyFont="1" applyFill="1" applyBorder="1" applyAlignment="1">
      <alignment horizontal="right"/>
    </xf>
    <xf numFmtId="0" fontId="7" fillId="9" borderId="1" xfId="0" applyFont="1" applyFill="1" applyBorder="1"/>
    <xf numFmtId="0" fontId="8" fillId="11" borderId="1" xfId="0" applyFont="1" applyFill="1" applyBorder="1"/>
    <xf numFmtId="165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0" fontId="8" fillId="11" borderId="1" xfId="0" applyFont="1" applyFill="1" applyBorder="1" applyAlignment="1">
      <alignment horizontal="right"/>
    </xf>
    <xf numFmtId="0" fontId="7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horizontal="right" wrapText="1"/>
    </xf>
    <xf numFmtId="0" fontId="8" fillId="11" borderId="1" xfId="0" applyFont="1" applyFill="1" applyBorder="1" applyAlignment="1">
      <alignment wrapText="1"/>
    </xf>
    <xf numFmtId="3" fontId="8" fillId="11" borderId="2" xfId="0" applyNumberFormat="1" applyFont="1" applyFill="1" applyBorder="1"/>
    <xf numFmtId="3" fontId="8" fillId="11" borderId="4" xfId="0" applyNumberFormat="1" applyFont="1" applyFill="1" applyBorder="1" applyAlignment="1">
      <alignment horizontal="right" wrapText="1"/>
    </xf>
    <xf numFmtId="0" fontId="8" fillId="11" borderId="1" xfId="0" applyFont="1" applyFill="1" applyBorder="1" applyAlignment="1">
      <alignment horizontal="right" wrapText="1"/>
    </xf>
    <xf numFmtId="3" fontId="8" fillId="11" borderId="1" xfId="0" applyNumberFormat="1" applyFont="1" applyFill="1" applyBorder="1"/>
    <xf numFmtId="0" fontId="11" fillId="11" borderId="1" xfId="0" applyFont="1" applyFill="1" applyBorder="1" applyAlignment="1">
      <alignment wrapText="1"/>
    </xf>
    <xf numFmtId="4" fontId="8" fillId="11" borderId="2" xfId="0" applyNumberFormat="1" applyFont="1" applyFill="1" applyBorder="1"/>
    <xf numFmtId="4" fontId="8" fillId="11" borderId="4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4" fontId="7" fillId="11" borderId="1" xfId="0" applyNumberFormat="1" applyFont="1" applyFill="1" applyBorder="1" applyAlignment="1">
      <alignment wrapText="1"/>
    </xf>
    <xf numFmtId="4" fontId="7" fillId="11" borderId="1" xfId="0" applyNumberFormat="1" applyFont="1" applyFill="1" applyBorder="1" applyAlignment="1">
      <alignment horizontal="right" wrapText="1"/>
    </xf>
    <xf numFmtId="0" fontId="8" fillId="12" borderId="1" xfId="0" applyFont="1" applyFill="1" applyBorder="1"/>
    <xf numFmtId="0" fontId="8" fillId="12" borderId="1" xfId="0" applyFont="1" applyFill="1" applyBorder="1" applyAlignment="1">
      <alignment horizontal="right"/>
    </xf>
    <xf numFmtId="0" fontId="7" fillId="13" borderId="1" xfId="0" applyFont="1" applyFill="1" applyBorder="1"/>
    <xf numFmtId="4" fontId="7" fillId="13" borderId="1" xfId="0" applyNumberFormat="1" applyFont="1" applyFill="1" applyBorder="1" applyAlignment="1">
      <alignment horizontal="right"/>
    </xf>
    <xf numFmtId="0" fontId="8" fillId="13" borderId="1" xfId="0" applyFont="1" applyFill="1" applyBorder="1"/>
    <xf numFmtId="165" fontId="8" fillId="13" borderId="1" xfId="1" applyNumberFormat="1" applyFont="1" applyFill="1" applyBorder="1" applyAlignment="1">
      <alignment horizontal="right"/>
    </xf>
    <xf numFmtId="0" fontId="11" fillId="8" borderId="1" xfId="0" applyFont="1" applyFill="1" applyBorder="1" applyAlignment="1">
      <alignment vertical="center"/>
    </xf>
    <xf numFmtId="165" fontId="8" fillId="13" borderId="3" xfId="1" applyNumberFormat="1" applyFont="1" applyFill="1" applyBorder="1" applyAlignment="1">
      <alignment horizontal="right"/>
    </xf>
    <xf numFmtId="0" fontId="8" fillId="13" borderId="1" xfId="0" applyFont="1" applyFill="1" applyBorder="1" applyAlignment="1">
      <alignment horizontal="right"/>
    </xf>
    <xf numFmtId="0" fontId="7" fillId="13" borderId="1" xfId="0" applyFont="1" applyFill="1" applyBorder="1" applyAlignment="1">
      <alignment horizontal="right" wrapText="1"/>
    </xf>
    <xf numFmtId="0" fontId="8" fillId="13" borderId="1" xfId="0" applyFont="1" applyFill="1" applyBorder="1" applyAlignment="1">
      <alignment wrapText="1"/>
    </xf>
    <xf numFmtId="3" fontId="8" fillId="13" borderId="2" xfId="0" applyNumberFormat="1" applyFont="1" applyFill="1" applyBorder="1"/>
    <xf numFmtId="3" fontId="8" fillId="13" borderId="4" xfId="0" applyNumberFormat="1" applyFont="1" applyFill="1" applyBorder="1" applyAlignment="1">
      <alignment horizontal="right" wrapText="1"/>
    </xf>
    <xf numFmtId="0" fontId="8" fillId="13" borderId="1" xfId="0" applyFont="1" applyFill="1" applyBorder="1" applyAlignment="1">
      <alignment horizontal="right" wrapText="1"/>
    </xf>
    <xf numFmtId="3" fontId="8" fillId="13" borderId="1" xfId="0" applyNumberFormat="1" applyFont="1" applyFill="1" applyBorder="1"/>
    <xf numFmtId="3" fontId="8" fillId="13" borderId="4" xfId="0" applyNumberFormat="1" applyFont="1" applyFill="1" applyBorder="1"/>
    <xf numFmtId="0" fontId="7" fillId="13" borderId="1" xfId="0" applyFont="1" applyFill="1" applyBorder="1" applyAlignment="1">
      <alignment wrapText="1"/>
    </xf>
    <xf numFmtId="3" fontId="7" fillId="13" borderId="4" xfId="0" applyNumberFormat="1" applyFont="1" applyFill="1" applyBorder="1" applyAlignment="1">
      <alignment horizontal="right" wrapText="1"/>
    </xf>
    <xf numFmtId="0" fontId="11" fillId="13" borderId="1" xfId="0" applyFont="1" applyFill="1" applyBorder="1" applyAlignment="1">
      <alignment wrapText="1"/>
    </xf>
    <xf numFmtId="9" fontId="11" fillId="13" borderId="4" xfId="1" applyFont="1" applyFill="1" applyBorder="1" applyAlignment="1">
      <alignment horizontal="right" wrapText="1"/>
    </xf>
    <xf numFmtId="4" fontId="8" fillId="13" borderId="2" xfId="0" applyNumberFormat="1" applyFont="1" applyFill="1" applyBorder="1"/>
    <xf numFmtId="4" fontId="8" fillId="13" borderId="4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4" fontId="8" fillId="13" borderId="4" xfId="0" applyNumberFormat="1" applyFont="1" applyFill="1" applyBorder="1"/>
    <xf numFmtId="4" fontId="7" fillId="13" borderId="1" xfId="0" applyNumberFormat="1" applyFont="1" applyFill="1" applyBorder="1"/>
    <xf numFmtId="4" fontId="7" fillId="13" borderId="1" xfId="0" applyNumberFormat="1" applyFont="1" applyFill="1" applyBorder="1" applyAlignment="1">
      <alignment wrapText="1"/>
    </xf>
    <xf numFmtId="4" fontId="7" fillId="13" borderId="1" xfId="0" applyNumberFormat="1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right" wrapText="1"/>
    </xf>
    <xf numFmtId="0" fontId="8" fillId="3" borderId="5" xfId="0" applyFont="1" applyFill="1" applyBorder="1" applyAlignment="1">
      <alignment horizontal="right" wrapText="1"/>
    </xf>
    <xf numFmtId="4" fontId="8" fillId="7" borderId="13" xfId="0" applyNumberFormat="1" applyFont="1" applyFill="1" applyBorder="1" applyAlignment="1">
      <alignment horizontal="right" wrapText="1"/>
    </xf>
    <xf numFmtId="9" fontId="7" fillId="11" borderId="1" xfId="1" applyFont="1" applyFill="1" applyBorder="1"/>
    <xf numFmtId="4" fontId="8" fillId="10" borderId="13" xfId="0" applyNumberFormat="1" applyFont="1" applyFill="1" applyBorder="1" applyAlignment="1">
      <alignment horizontal="right" wrapText="1"/>
    </xf>
    <xf numFmtId="9" fontId="7" fillId="10" borderId="1" xfId="1" applyFont="1" applyFill="1" applyBorder="1"/>
    <xf numFmtId="9" fontId="7" fillId="13" borderId="1" xfId="1" applyFont="1" applyFill="1" applyBorder="1"/>
    <xf numFmtId="3" fontId="8" fillId="5" borderId="2" xfId="0" applyNumberFormat="1" applyFont="1" applyFill="1" applyBorder="1"/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 applyAlignment="1">
      <alignment horizontal="right" vertical="center"/>
    </xf>
    <xf numFmtId="0" fontId="6" fillId="14" borderId="1" xfId="0" applyFont="1" applyFill="1" applyBorder="1" applyAlignment="1" applyProtection="1">
      <alignment horizontal="left" wrapText="1"/>
      <protection locked="0"/>
    </xf>
    <xf numFmtId="0" fontId="6" fillId="14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9" fontId="7" fillId="0" borderId="1" xfId="1" applyNumberFormat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4" fontId="8" fillId="0" borderId="1" xfId="0" quotePrefix="1" applyNumberFormat="1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wrapText="1"/>
      <protection locked="0"/>
    </xf>
    <xf numFmtId="0" fontId="9" fillId="0" borderId="6" xfId="0" applyFont="1" applyFill="1" applyBorder="1" applyAlignment="1" applyProtection="1">
      <alignment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9" fontId="7" fillId="0" borderId="7" xfId="1" applyFont="1" applyFill="1" applyBorder="1" applyAlignment="1" applyProtection="1">
      <alignment horizontal="right" wrapText="1"/>
      <protection locked="0"/>
    </xf>
    <xf numFmtId="9" fontId="8" fillId="0" borderId="7" xfId="1" applyFont="1" applyFill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wrapText="1"/>
      <protection locked="0"/>
    </xf>
    <xf numFmtId="165" fontId="8" fillId="0" borderId="1" xfId="1" quotePrefix="1" applyNumberFormat="1" applyFont="1" applyFill="1" applyBorder="1" applyAlignment="1" applyProtection="1">
      <alignment horizontal="right" wrapText="1"/>
      <protection locked="0"/>
    </xf>
    <xf numFmtId="165" fontId="7" fillId="0" borderId="1" xfId="1" applyNumberFormat="1" applyFont="1" applyFill="1" applyBorder="1" applyAlignment="1" applyProtection="1">
      <alignment horizontal="right" wrapText="1"/>
      <protection locked="0"/>
    </xf>
    <xf numFmtId="9" fontId="7" fillId="0" borderId="45" xfId="1" applyFont="1" applyFill="1" applyBorder="1" applyAlignment="1" applyProtection="1">
      <alignment horizontal="right" wrapText="1"/>
      <protection locked="0"/>
    </xf>
    <xf numFmtId="9" fontId="7" fillId="0" borderId="44" xfId="1" applyFont="1" applyFill="1" applyBorder="1" applyAlignment="1" applyProtection="1">
      <alignment horizontal="right" wrapText="1"/>
      <protection locked="0"/>
    </xf>
    <xf numFmtId="3" fontId="8" fillId="7" borderId="4" xfId="0" applyNumberFormat="1" applyFont="1" applyFill="1" applyBorder="1" applyAlignment="1">
      <alignment horizontal="right" wrapText="1"/>
    </xf>
    <xf numFmtId="3" fontId="8" fillId="7" borderId="4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9" fontId="11" fillId="7" borderId="4" xfId="1" applyFont="1" applyFill="1" applyBorder="1" applyAlignment="1">
      <alignment horizontal="right" wrapText="1"/>
    </xf>
    <xf numFmtId="4" fontId="8" fillId="7" borderId="4" xfId="0" applyNumberFormat="1" applyFont="1" applyFill="1" applyBorder="1" applyAlignment="1">
      <alignment horizontal="right" wrapText="1"/>
    </xf>
    <xf numFmtId="4" fontId="8" fillId="7" borderId="4" xfId="0" applyNumberFormat="1" applyFont="1" applyFill="1" applyBorder="1"/>
    <xf numFmtId="3" fontId="8" fillId="10" borderId="4" xfId="0" applyNumberFormat="1" applyFont="1" applyFill="1" applyBorder="1" applyAlignment="1">
      <alignment horizontal="right" wrapText="1"/>
    </xf>
    <xf numFmtId="4" fontId="8" fillId="10" borderId="4" xfId="0" applyNumberFormat="1" applyFont="1" applyFill="1" applyBorder="1" applyAlignment="1">
      <alignment horizontal="right" wrapText="1"/>
    </xf>
    <xf numFmtId="4" fontId="8" fillId="10" borderId="4" xfId="0" applyNumberFormat="1" applyFont="1" applyFill="1" applyBorder="1"/>
    <xf numFmtId="3" fontId="8" fillId="13" borderId="4" xfId="0" applyNumberFormat="1" applyFont="1" applyFill="1" applyBorder="1" applyAlignment="1">
      <alignment horizontal="right" wrapText="1"/>
    </xf>
    <xf numFmtId="3" fontId="8" fillId="13" borderId="4" xfId="0" applyNumberFormat="1" applyFont="1" applyFill="1" applyBorder="1"/>
    <xf numFmtId="3" fontId="7" fillId="13" borderId="4" xfId="0" applyNumberFormat="1" applyFont="1" applyFill="1" applyBorder="1" applyAlignment="1">
      <alignment horizontal="right" wrapText="1"/>
    </xf>
    <xf numFmtId="9" fontId="11" fillId="13" borderId="4" xfId="1" applyFont="1" applyFill="1" applyBorder="1" applyAlignment="1">
      <alignment horizontal="right" wrapText="1"/>
    </xf>
    <xf numFmtId="4" fontId="8" fillId="13" borderId="4" xfId="0" applyNumberFormat="1" applyFont="1" applyFill="1" applyBorder="1" applyAlignment="1">
      <alignment horizontal="right" wrapText="1"/>
    </xf>
    <xf numFmtId="4" fontId="8" fillId="13" borderId="4" xfId="0" applyNumberFormat="1" applyFont="1" applyFill="1" applyBorder="1"/>
    <xf numFmtId="4" fontId="7" fillId="5" borderId="1" xfId="0" applyNumberFormat="1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9" fontId="8" fillId="0" borderId="1" xfId="1" quotePrefix="1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wrapText="1"/>
      <protection locked="0"/>
    </xf>
    <xf numFmtId="4" fontId="8" fillId="5" borderId="1" xfId="0" quotePrefix="1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Protection="1"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9" fontId="8" fillId="0" borderId="2" xfId="1" applyFont="1" applyFill="1" applyBorder="1" applyProtection="1">
      <protection locked="0"/>
    </xf>
    <xf numFmtId="4" fontId="7" fillId="0" borderId="6" xfId="0" applyNumberFormat="1" applyFont="1" applyFill="1" applyBorder="1" applyAlignment="1" applyProtection="1">
      <alignment horizontal="right" wrapText="1"/>
      <protection locked="0"/>
    </xf>
    <xf numFmtId="4" fontId="8" fillId="5" borderId="6" xfId="0" applyNumberFormat="1" applyFont="1" applyFill="1" applyBorder="1" applyAlignment="1" applyProtection="1">
      <alignment horizontal="right" wrapText="1"/>
      <protection locked="0"/>
    </xf>
    <xf numFmtId="4" fontId="8" fillId="5" borderId="39" xfId="0" applyNumberFormat="1" applyFont="1" applyFill="1" applyBorder="1" applyAlignment="1" applyProtection="1">
      <alignment horizontal="right" wrapText="1"/>
      <protection locked="0"/>
    </xf>
    <xf numFmtId="9" fontId="8" fillId="0" borderId="1" xfId="1" applyNumberFormat="1" applyFont="1" applyFill="1" applyBorder="1" applyAlignment="1" applyProtection="1">
      <alignment horizontal="right" wrapText="1"/>
      <protection locked="0"/>
    </xf>
    <xf numFmtId="9" fontId="8" fillId="0" borderId="2" xfId="1" applyFont="1" applyFill="1" applyBorder="1" applyAlignment="1" applyProtection="1">
      <alignment horizontal="right"/>
      <protection locked="0"/>
    </xf>
    <xf numFmtId="9" fontId="7" fillId="0" borderId="2" xfId="1" applyFont="1" applyFill="1" applyBorder="1" applyAlignment="1" applyProtection="1">
      <alignment horizontal="right"/>
      <protection locked="0"/>
    </xf>
    <xf numFmtId="3" fontId="8" fillId="4" borderId="2" xfId="0" applyNumberFormat="1" applyFont="1" applyFill="1" applyBorder="1"/>
    <xf numFmtId="3" fontId="8" fillId="4" borderId="1" xfId="0" applyNumberFormat="1" applyFont="1" applyFill="1" applyBorder="1"/>
    <xf numFmtId="3" fontId="8" fillId="5" borderId="12" xfId="0" applyNumberFormat="1" applyFont="1" applyFill="1" applyBorder="1"/>
    <xf numFmtId="9" fontId="7" fillId="4" borderId="2" xfId="1" applyFont="1" applyFill="1" applyBorder="1"/>
    <xf numFmtId="9" fontId="8" fillId="4" borderId="2" xfId="1" applyFont="1" applyFill="1" applyBorder="1"/>
    <xf numFmtId="4" fontId="7" fillId="0" borderId="1" xfId="0" applyNumberFormat="1" applyFont="1" applyFill="1" applyBorder="1" applyAlignment="1">
      <alignment wrapText="1"/>
    </xf>
    <xf numFmtId="4" fontId="8" fillId="4" borderId="2" xfId="0" applyNumberFormat="1" applyFont="1" applyFill="1" applyBorder="1"/>
    <xf numFmtId="4" fontId="8" fillId="4" borderId="1" xfId="0" applyNumberFormat="1" applyFont="1" applyFill="1" applyBorder="1"/>
    <xf numFmtId="4" fontId="7" fillId="4" borderId="1" xfId="0" applyNumberFormat="1" applyFont="1" applyFill="1" applyBorder="1" applyAlignment="1">
      <alignment horizontal="right"/>
    </xf>
    <xf numFmtId="4" fontId="7" fillId="7" borderId="1" xfId="0" applyNumberFormat="1" applyFont="1" applyFill="1" applyBorder="1" applyAlignment="1">
      <alignment horizontal="right"/>
    </xf>
    <xf numFmtId="165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9" fontId="8" fillId="5" borderId="1" xfId="1" applyNumberFormat="1" applyFont="1" applyFill="1" applyBorder="1" applyAlignment="1">
      <alignment horizontal="right" wrapText="1"/>
    </xf>
    <xf numFmtId="9" fontId="7" fillId="5" borderId="1" xfId="1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4" fontId="7" fillId="7" borderId="1" xfId="0" applyNumberFormat="1" applyFont="1" applyFill="1" applyBorder="1" applyAlignment="1">
      <alignment horizontal="right"/>
    </xf>
    <xf numFmtId="3" fontId="8" fillId="7" borderId="2" xfId="0" applyNumberFormat="1" applyFont="1" applyFill="1" applyBorder="1"/>
    <xf numFmtId="3" fontId="8" fillId="7" borderId="38" xfId="0" applyNumberFormat="1" applyFont="1" applyFill="1" applyBorder="1" applyAlignment="1">
      <alignment horizontal="right" wrapText="1"/>
    </xf>
    <xf numFmtId="3" fontId="8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40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7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41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7" fillId="11" borderId="1" xfId="0" applyNumberFormat="1" applyFont="1" applyFill="1" applyBorder="1" applyAlignment="1">
      <alignment horizontal="right"/>
    </xf>
    <xf numFmtId="165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4" fontId="7" fillId="11" borderId="1" xfId="0" applyNumberFormat="1" applyFont="1" applyFill="1" applyBorder="1" applyAlignment="1">
      <alignment horizontal="right"/>
    </xf>
    <xf numFmtId="3" fontId="8" fillId="11" borderId="2" xfId="0" applyNumberFormat="1" applyFont="1" applyFill="1" applyBorder="1"/>
    <xf numFmtId="3" fontId="8" fillId="11" borderId="42" xfId="0" applyNumberFormat="1" applyFont="1" applyFill="1" applyBorder="1" applyAlignment="1">
      <alignment horizontal="right" wrapText="1"/>
    </xf>
    <xf numFmtId="3" fontId="8" fillId="11" borderId="1" xfId="0" applyNumberFormat="1" applyFont="1" applyFill="1" applyBorder="1"/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42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165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42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3" fontId="8" fillId="10" borderId="2" xfId="0" applyNumberFormat="1" applyFont="1" applyFill="1" applyBorder="1"/>
    <xf numFmtId="3" fontId="8" fillId="10" borderId="1" xfId="0" applyNumberFormat="1" applyFont="1" applyFill="1" applyBorder="1"/>
    <xf numFmtId="4" fontId="7" fillId="10" borderId="1" xfId="0" applyNumberFormat="1" applyFont="1" applyFill="1" applyBorder="1"/>
    <xf numFmtId="4" fontId="8" fillId="10" borderId="2" xfId="0" applyNumberFormat="1" applyFont="1" applyFill="1" applyBorder="1"/>
    <xf numFmtId="4" fontId="8" fillId="10" borderId="43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7" fillId="13" borderId="1" xfId="0" applyNumberFormat="1" applyFont="1" applyFill="1" applyBorder="1" applyAlignment="1">
      <alignment horizontal="right"/>
    </xf>
    <xf numFmtId="165" fontId="8" fillId="13" borderId="1" xfId="1" applyNumberFormat="1" applyFont="1" applyFill="1" applyBorder="1" applyAlignment="1">
      <alignment horizontal="right"/>
    </xf>
    <xf numFmtId="4" fontId="7" fillId="13" borderId="1" xfId="0" applyNumberFormat="1" applyFont="1" applyFill="1" applyBorder="1" applyAlignment="1">
      <alignment horizontal="right"/>
    </xf>
    <xf numFmtId="4" fontId="8" fillId="13" borderId="1" xfId="0" applyNumberFormat="1" applyFont="1" applyFill="1" applyBorder="1" applyAlignment="1">
      <alignment horizontal="right" vertical="center"/>
    </xf>
    <xf numFmtId="3" fontId="8" fillId="13" borderId="2" xfId="0" applyNumberFormat="1" applyFont="1" applyFill="1" applyBorder="1"/>
    <xf numFmtId="3" fontId="8" fillId="13" borderId="41" xfId="0" applyNumberFormat="1" applyFont="1" applyFill="1" applyBorder="1" applyAlignment="1">
      <alignment horizontal="right" wrapText="1"/>
    </xf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41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4" fontId="7" fillId="13" borderId="1" xfId="0" applyNumberFormat="1" applyFont="1" applyFill="1" applyBorder="1"/>
    <xf numFmtId="4" fontId="7" fillId="7" borderId="1" xfId="0" applyNumberFormat="1" applyFont="1" applyFill="1" applyBorder="1" applyAlignment="1">
      <alignment horizontal="right"/>
    </xf>
    <xf numFmtId="9" fontId="8" fillId="7" borderId="2" xfId="1" applyFont="1" applyFill="1" applyBorder="1"/>
    <xf numFmtId="4" fontId="7" fillId="10" borderId="1" xfId="0" applyNumberFormat="1" applyFont="1" applyFill="1" applyBorder="1" applyAlignment="1">
      <alignment horizontal="right"/>
    </xf>
    <xf numFmtId="9" fontId="8" fillId="10" borderId="2" xfId="1" applyFont="1" applyFill="1" applyBorder="1"/>
    <xf numFmtId="4" fontId="7" fillId="11" borderId="1" xfId="0" applyNumberFormat="1" applyFont="1" applyFill="1" applyBorder="1" applyAlignment="1">
      <alignment horizontal="right"/>
    </xf>
    <xf numFmtId="9" fontId="8" fillId="11" borderId="2" xfId="1" applyFont="1" applyFill="1" applyBorder="1"/>
    <xf numFmtId="4" fontId="7" fillId="13" borderId="1" xfId="0" applyNumberFormat="1" applyFont="1" applyFill="1" applyBorder="1" applyAlignment="1">
      <alignment horizontal="right"/>
    </xf>
    <xf numFmtId="3" fontId="8" fillId="13" borderId="2" xfId="0" applyNumberFormat="1" applyFont="1" applyFill="1" applyBorder="1"/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40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9" fontId="7" fillId="7" borderId="2" xfId="1" applyFont="1" applyFill="1" applyBorder="1"/>
    <xf numFmtId="9" fontId="7" fillId="10" borderId="2" xfId="1" applyFont="1" applyFill="1" applyBorder="1"/>
    <xf numFmtId="9" fontId="7" fillId="11" borderId="2" xfId="1" applyFont="1" applyFill="1" applyBorder="1"/>
    <xf numFmtId="9" fontId="8" fillId="13" borderId="2" xfId="1" applyFont="1" applyFill="1" applyBorder="1"/>
    <xf numFmtId="9" fontId="7" fillId="13" borderId="2" xfId="1" applyFont="1" applyFill="1" applyBorder="1"/>
    <xf numFmtId="9" fontId="8" fillId="13" borderId="2" xfId="1" applyFont="1" applyFill="1" applyBorder="1" applyAlignment="1">
      <alignment horizontal="right"/>
    </xf>
    <xf numFmtId="4" fontId="7" fillId="0" borderId="39" xfId="0" applyNumberFormat="1" applyFont="1" applyFill="1" applyBorder="1" applyAlignment="1" applyProtection="1">
      <alignment horizontal="right" wrapText="1"/>
      <protection locked="0"/>
    </xf>
    <xf numFmtId="4" fontId="8" fillId="0" borderId="43" xfId="0" applyNumberFormat="1" applyFont="1" applyFill="1" applyBorder="1" applyAlignment="1" applyProtection="1">
      <alignment horizontal="right" wrapText="1"/>
      <protection locked="0"/>
    </xf>
    <xf numFmtId="0" fontId="9" fillId="0" borderId="7" xfId="0" applyFont="1" applyFill="1" applyBorder="1" applyAlignment="1" applyProtection="1">
      <alignment wrapText="1"/>
      <protection locked="0"/>
    </xf>
    <xf numFmtId="4" fontId="8" fillId="0" borderId="13" xfId="0" quotePrefix="1" applyNumberFormat="1" applyFont="1" applyFill="1" applyBorder="1" applyAlignment="1" applyProtection="1">
      <alignment horizontal="right" wrapText="1"/>
      <protection locked="0"/>
    </xf>
    <xf numFmtId="9" fontId="8" fillId="0" borderId="14" xfId="1" applyFont="1" applyFill="1" applyBorder="1" applyAlignment="1" applyProtection="1">
      <alignment horizontal="right"/>
      <protection locked="0"/>
    </xf>
    <xf numFmtId="4" fontId="8" fillId="0" borderId="8" xfId="0" quotePrefix="1" applyNumberFormat="1" applyFont="1" applyFill="1" applyBorder="1" applyAlignment="1" applyProtection="1">
      <alignment horizontal="right" wrapText="1"/>
      <protection locked="0"/>
    </xf>
    <xf numFmtId="9" fontId="7" fillId="0" borderId="1" xfId="1" applyFont="1" applyFill="1" applyBorder="1" applyAlignment="1" applyProtection="1">
      <alignment horizontal="right"/>
      <protection locked="0"/>
    </xf>
    <xf numFmtId="0" fontId="8" fillId="11" borderId="10" xfId="0" applyFont="1" applyFill="1" applyBorder="1" applyAlignment="1">
      <alignment horizontal="right" wrapText="1"/>
    </xf>
    <xf numFmtId="4" fontId="8" fillId="11" borderId="10" xfId="0" applyNumberFormat="1" applyFont="1" applyFill="1" applyBorder="1"/>
    <xf numFmtId="4" fontId="8" fillId="13" borderId="13" xfId="0" applyNumberFormat="1" applyFont="1" applyFill="1" applyBorder="1" applyAlignment="1">
      <alignment horizontal="right" wrapText="1"/>
    </xf>
    <xf numFmtId="9" fontId="7" fillId="7" borderId="1" xfId="1" applyFont="1" applyFill="1" applyBorder="1"/>
    <xf numFmtId="3" fontId="8" fillId="4" borderId="43" xfId="0" applyNumberFormat="1" applyFont="1" applyFill="1" applyBorder="1"/>
    <xf numFmtId="165" fontId="8" fillId="5" borderId="1" xfId="1" applyNumberFormat="1" applyFont="1" applyFill="1" applyBorder="1" applyAlignment="1" applyProtection="1">
      <alignment horizontal="right" wrapText="1"/>
      <protection locked="0"/>
    </xf>
    <xf numFmtId="4" fontId="7" fillId="5" borderId="1" xfId="0" applyNumberFormat="1" applyFont="1" applyFill="1" applyBorder="1" applyAlignment="1" applyProtection="1">
      <alignment horizontal="right" wrapText="1"/>
      <protection locked="0"/>
    </xf>
    <xf numFmtId="4" fontId="7" fillId="5" borderId="6" xfId="0" applyNumberFormat="1" applyFont="1" applyFill="1" applyBorder="1" applyAlignment="1" applyProtection="1">
      <alignment horizontal="right" wrapText="1"/>
      <protection locked="0"/>
    </xf>
    <xf numFmtId="0" fontId="9" fillId="0" borderId="48" xfId="0" applyFont="1" applyFill="1" applyBorder="1" applyAlignment="1" applyProtection="1">
      <alignment wrapText="1"/>
      <protection locked="0"/>
    </xf>
    <xf numFmtId="9" fontId="7" fillId="0" borderId="46" xfId="1" applyNumberFormat="1" applyFont="1" applyFill="1" applyBorder="1" applyAlignment="1" applyProtection="1">
      <alignment horizontal="right" wrapText="1"/>
      <protection locked="0"/>
    </xf>
    <xf numFmtId="9" fontId="8" fillId="0" borderId="46" xfId="1" applyNumberFormat="1" applyFont="1" applyFill="1" applyBorder="1" applyAlignment="1" applyProtection="1">
      <alignment horizontal="right" wrapText="1"/>
      <protection locked="0"/>
    </xf>
    <xf numFmtId="9" fontId="7" fillId="0" borderId="47" xfId="1" applyNumberFormat="1" applyFont="1" applyFill="1" applyBorder="1" applyAlignment="1" applyProtection="1">
      <alignment horizontal="right" wrapText="1"/>
      <protection locked="0"/>
    </xf>
    <xf numFmtId="0" fontId="10" fillId="14" borderId="1" xfId="0" applyFont="1" applyFill="1" applyBorder="1" applyAlignment="1" applyProtection="1">
      <alignment horizontal="center" wrapText="1"/>
      <protection locked="0"/>
    </xf>
    <xf numFmtId="9" fontId="7" fillId="11" borderId="1" xfId="1" applyNumberFormat="1" applyFont="1" applyFill="1" applyBorder="1" applyAlignment="1" applyProtection="1">
      <alignment horizontal="right" wrapText="1"/>
      <protection locked="0"/>
    </xf>
    <xf numFmtId="9" fontId="8" fillId="11" borderId="1" xfId="1" applyNumberFormat="1" applyFont="1" applyFill="1" applyBorder="1" applyAlignment="1" applyProtection="1">
      <alignment horizontal="right" wrapText="1"/>
      <protection locked="0"/>
    </xf>
    <xf numFmtId="9" fontId="7" fillId="7" borderId="1" xfId="1" applyNumberFormat="1" applyFont="1" applyFill="1" applyBorder="1" applyAlignment="1" applyProtection="1">
      <alignment horizontal="right" wrapText="1"/>
      <protection locked="0"/>
    </xf>
    <xf numFmtId="9" fontId="8" fillId="7" borderId="1" xfId="1" applyNumberFormat="1" applyFont="1" applyFill="1" applyBorder="1" applyAlignment="1" applyProtection="1">
      <alignment horizontal="right" wrapText="1"/>
      <protection locked="0"/>
    </xf>
    <xf numFmtId="9" fontId="7" fillId="10" borderId="1" xfId="1" applyNumberFormat="1" applyFont="1" applyFill="1" applyBorder="1" applyAlignment="1" applyProtection="1">
      <alignment horizontal="right" wrapText="1"/>
      <protection locked="0"/>
    </xf>
    <xf numFmtId="9" fontId="8" fillId="10" borderId="1" xfId="1" applyNumberFormat="1" applyFont="1" applyFill="1" applyBorder="1" applyAlignment="1" applyProtection="1">
      <alignment horizontal="right" wrapText="1"/>
      <protection locked="0"/>
    </xf>
    <xf numFmtId="9" fontId="7" fillId="13" borderId="1" xfId="1" applyNumberFormat="1" applyFont="1" applyFill="1" applyBorder="1" applyAlignment="1" applyProtection="1">
      <alignment horizontal="right" wrapText="1"/>
      <protection locked="0"/>
    </xf>
    <xf numFmtId="9" fontId="8" fillId="13" borderId="1" xfId="1" applyNumberFormat="1" applyFont="1" applyFill="1" applyBorder="1" applyAlignment="1" applyProtection="1">
      <alignment horizontal="right" wrapText="1"/>
      <protection locked="0"/>
    </xf>
    <xf numFmtId="4" fontId="8" fillId="5" borderId="43" xfId="0" quotePrefix="1" applyNumberFormat="1" applyFont="1" applyFill="1" applyBorder="1" applyAlignment="1" applyProtection="1">
      <alignment horizontal="right" wrapText="1"/>
      <protection locked="0"/>
    </xf>
    <xf numFmtId="4" fontId="8" fillId="0" borderId="43" xfId="0" quotePrefix="1" applyNumberFormat="1" applyFont="1" applyFill="1" applyBorder="1" applyAlignment="1" applyProtection="1">
      <alignment horizontal="right" wrapText="1"/>
      <protection locked="0"/>
    </xf>
    <xf numFmtId="9" fontId="7" fillId="0" borderId="43" xfId="1" applyFont="1" applyFill="1" applyBorder="1" applyAlignment="1" applyProtection="1">
      <alignment horizontal="right" wrapText="1"/>
      <protection locked="0"/>
    </xf>
    <xf numFmtId="3" fontId="8" fillId="0" borderId="43" xfId="0" applyNumberFormat="1" applyFont="1" applyFill="1" applyBorder="1" applyAlignment="1" applyProtection="1">
      <alignment horizontal="right" wrapText="1"/>
      <protection locked="0"/>
    </xf>
    <xf numFmtId="0" fontId="7" fillId="0" borderId="43" xfId="0" applyFont="1" applyFill="1" applyBorder="1" applyAlignment="1" applyProtection="1">
      <alignment horizontal="right" wrapText="1"/>
      <protection locked="0"/>
    </xf>
    <xf numFmtId="165" fontId="8" fillId="5" borderId="43" xfId="1" applyNumberFormat="1" applyFont="1" applyFill="1" applyBorder="1" applyAlignment="1" applyProtection="1">
      <alignment horizontal="right" wrapText="1"/>
      <protection locked="0"/>
    </xf>
    <xf numFmtId="165" fontId="8" fillId="0" borderId="43" xfId="1" applyNumberFormat="1" applyFont="1" applyFill="1" applyBorder="1" applyAlignment="1" applyProtection="1">
      <alignment horizontal="right" wrapText="1"/>
      <protection locked="0"/>
    </xf>
    <xf numFmtId="0" fontId="8" fillId="0" borderId="43" xfId="0" applyFont="1" applyFill="1" applyBorder="1" applyAlignment="1" applyProtection="1">
      <alignment horizontal="right" wrapText="1"/>
      <protection locked="0"/>
    </xf>
    <xf numFmtId="4" fontId="7" fillId="0" borderId="43" xfId="0" applyNumberFormat="1" applyFont="1" applyFill="1" applyBorder="1" applyAlignment="1" applyProtection="1">
      <alignment horizontal="right" wrapText="1"/>
      <protection locked="0"/>
    </xf>
    <xf numFmtId="9" fontId="8" fillId="0" borderId="43" xfId="1" applyFont="1" applyFill="1" applyBorder="1" applyAlignment="1" applyProtection="1">
      <alignment horizontal="right" wrapText="1"/>
      <protection locked="0"/>
    </xf>
    <xf numFmtId="4" fontId="8" fillId="5" borderId="43" xfId="0" applyNumberFormat="1" applyFont="1" applyFill="1" applyBorder="1" applyAlignment="1" applyProtection="1">
      <alignment horizontal="right" wrapText="1"/>
      <protection locked="0"/>
    </xf>
    <xf numFmtId="165" fontId="8" fillId="5" borderId="43" xfId="1" quotePrefix="1" applyNumberFormat="1" applyFont="1" applyFill="1" applyBorder="1" applyAlignment="1" applyProtection="1">
      <alignment horizontal="right" wrapText="1"/>
      <protection locked="0"/>
    </xf>
    <xf numFmtId="165" fontId="8" fillId="0" borderId="43" xfId="1" quotePrefix="1" applyNumberFormat="1" applyFont="1" applyFill="1" applyBorder="1" applyAlignment="1" applyProtection="1">
      <alignment horizontal="right" wrapText="1"/>
      <protection locked="0"/>
    </xf>
    <xf numFmtId="4" fontId="7" fillId="5" borderId="43" xfId="0" applyNumberFormat="1" applyFont="1" applyFill="1" applyBorder="1" applyAlignment="1" applyProtection="1">
      <alignment wrapText="1"/>
      <protection locked="0"/>
    </xf>
    <xf numFmtId="4" fontId="7" fillId="0" borderId="43" xfId="0" applyNumberFormat="1" applyFont="1" applyFill="1" applyBorder="1" applyAlignment="1" applyProtection="1">
      <alignment wrapText="1"/>
      <protection locked="0"/>
    </xf>
    <xf numFmtId="0" fontId="7" fillId="5" borderId="43" xfId="0" applyFont="1" applyFill="1" applyBorder="1" applyAlignment="1" applyProtection="1">
      <alignment horizontal="right" wrapText="1"/>
      <protection locked="0"/>
    </xf>
    <xf numFmtId="4" fontId="7" fillId="5" borderId="43" xfId="0" applyNumberFormat="1" applyFont="1" applyFill="1" applyBorder="1" applyAlignment="1" applyProtection="1">
      <alignment horizontal="right" wrapText="1"/>
      <protection locked="0"/>
    </xf>
    <xf numFmtId="2" fontId="8" fillId="5" borderId="43" xfId="0" applyNumberFormat="1" applyFont="1" applyFill="1" applyBorder="1" applyAlignment="1" applyProtection="1">
      <alignment horizontal="right" wrapText="1"/>
      <protection locked="0"/>
    </xf>
    <xf numFmtId="2" fontId="8" fillId="0" borderId="43" xfId="0" applyNumberFormat="1" applyFont="1" applyFill="1" applyBorder="1" applyAlignment="1" applyProtection="1">
      <alignment horizontal="right" wrapText="1"/>
      <protection locked="0"/>
    </xf>
    <xf numFmtId="165" fontId="7" fillId="0" borderId="43" xfId="1" applyNumberFormat="1" applyFont="1" applyFill="1" applyBorder="1" applyAlignment="1" applyProtection="1">
      <alignment horizontal="right" wrapText="1"/>
      <protection locked="0"/>
    </xf>
    <xf numFmtId="0" fontId="7" fillId="4" borderId="43" xfId="0" applyFont="1" applyFill="1" applyBorder="1" applyAlignment="1">
      <alignment horizontal="right" wrapText="1"/>
    </xf>
    <xf numFmtId="3" fontId="7" fillId="4" borderId="43" xfId="0" applyNumberFormat="1" applyFont="1" applyFill="1" applyBorder="1" applyAlignment="1">
      <alignment horizontal="right" wrapText="1"/>
    </xf>
    <xf numFmtId="3" fontId="8" fillId="4" borderId="43" xfId="0" applyNumberFormat="1" applyFont="1" applyFill="1" applyBorder="1" applyAlignment="1">
      <alignment horizontal="right" wrapText="1"/>
    </xf>
    <xf numFmtId="0" fontId="8" fillId="4" borderId="39" xfId="0" applyFont="1" applyFill="1" applyBorder="1" applyAlignment="1">
      <alignment horizontal="right" wrapText="1"/>
    </xf>
    <xf numFmtId="4" fontId="8" fillId="4" borderId="43" xfId="0" applyNumberFormat="1" applyFont="1" applyFill="1" applyBorder="1" applyAlignment="1">
      <alignment horizontal="right" wrapText="1"/>
    </xf>
    <xf numFmtId="4" fontId="8" fillId="4" borderId="43" xfId="0" applyNumberFormat="1" applyFont="1" applyFill="1" applyBorder="1"/>
    <xf numFmtId="4" fontId="8" fillId="0" borderId="43" xfId="0" applyNumberFormat="1" applyFont="1" applyFill="1" applyBorder="1"/>
    <xf numFmtId="4" fontId="8" fillId="0" borderId="43" xfId="0" applyNumberFormat="1" applyFont="1" applyFill="1" applyBorder="1" applyAlignment="1">
      <alignment horizontal="right" wrapText="1"/>
    </xf>
    <xf numFmtId="4" fontId="8" fillId="0" borderId="8" xfId="0" applyNumberFormat="1" applyFont="1" applyFill="1" applyBorder="1" applyAlignment="1" applyProtection="1">
      <alignment horizontal="right" wrapText="1"/>
      <protection locked="0"/>
    </xf>
    <xf numFmtId="9" fontId="8" fillId="0" borderId="5" xfId="1" applyNumberFormat="1" applyFont="1" applyFill="1" applyBorder="1" applyAlignment="1" applyProtection="1">
      <alignment horizontal="right" wrapText="1"/>
      <protection locked="0"/>
    </xf>
    <xf numFmtId="9" fontId="8" fillId="0" borderId="43" xfId="1" quotePrefix="1" applyNumberFormat="1" applyFont="1" applyFill="1" applyBorder="1" applyAlignment="1" applyProtection="1">
      <alignment horizontal="right" wrapText="1"/>
      <protection locked="0"/>
    </xf>
    <xf numFmtId="9" fontId="11" fillId="10" borderId="43" xfId="1" applyFont="1" applyFill="1" applyBorder="1" applyAlignment="1">
      <alignment horizontal="right" wrapText="1"/>
    </xf>
    <xf numFmtId="3" fontId="8" fillId="10" borderId="43" xfId="0" applyNumberFormat="1" applyFont="1" applyFill="1" applyBorder="1" applyAlignment="1">
      <alignment horizontal="right" wrapText="1"/>
    </xf>
    <xf numFmtId="3" fontId="8" fillId="10" borderId="43" xfId="0" applyNumberFormat="1" applyFont="1" applyFill="1" applyBorder="1"/>
    <xf numFmtId="3" fontId="7" fillId="10" borderId="43" xfId="0" applyNumberFormat="1" applyFont="1" applyFill="1" applyBorder="1" applyAlignment="1">
      <alignment horizontal="right" wrapText="1"/>
    </xf>
    <xf numFmtId="4" fontId="8" fillId="10" borderId="43" xfId="0" applyNumberFormat="1" applyFont="1" applyFill="1" applyBorder="1"/>
    <xf numFmtId="4" fontId="8" fillId="13" borderId="43" xfId="0" applyNumberFormat="1" applyFont="1" applyFill="1" applyBorder="1" applyAlignment="1">
      <alignment horizontal="right" wrapText="1"/>
    </xf>
    <xf numFmtId="9" fontId="7" fillId="13" borderId="3" xfId="1" applyNumberFormat="1" applyFont="1" applyFill="1" applyBorder="1" applyAlignment="1">
      <alignment horizontal="right"/>
    </xf>
    <xf numFmtId="4" fontId="8" fillId="13" borderId="49" xfId="1" applyNumberFormat="1" applyFont="1" applyFill="1" applyBorder="1" applyAlignment="1">
      <alignment horizontal="right"/>
    </xf>
    <xf numFmtId="4" fontId="7" fillId="11" borderId="1" xfId="0" applyNumberFormat="1" applyFont="1" applyFill="1" applyBorder="1"/>
    <xf numFmtId="4" fontId="8" fillId="5" borderId="50" xfId="0" quotePrefix="1" applyNumberFormat="1" applyFont="1" applyFill="1" applyBorder="1" applyAlignment="1" applyProtection="1">
      <alignment horizontal="right" wrapText="1"/>
      <protection locked="0"/>
    </xf>
    <xf numFmtId="9" fontId="7" fillId="3" borderId="1" xfId="1" applyFont="1" applyFill="1" applyBorder="1" applyAlignment="1">
      <alignment wrapText="1"/>
    </xf>
    <xf numFmtId="0" fontId="8" fillId="5" borderId="1" xfId="0" applyFont="1" applyFill="1" applyBorder="1" applyAlignment="1" applyProtection="1">
      <alignment wrapText="1"/>
      <protection locked="0"/>
    </xf>
    <xf numFmtId="4" fontId="8" fillId="13" borderId="1" xfId="0" applyNumberFormat="1" applyFont="1" applyFill="1" applyBorder="1" applyAlignment="1">
      <alignment wrapText="1"/>
    </xf>
    <xf numFmtId="3" fontId="8" fillId="5" borderId="1" xfId="0" applyNumberFormat="1" applyFont="1" applyFill="1" applyBorder="1"/>
    <xf numFmtId="4" fontId="8" fillId="5" borderId="2" xfId="0" applyNumberFormat="1" applyFont="1" applyFill="1" applyBorder="1"/>
    <xf numFmtId="4" fontId="8" fillId="5" borderId="43" xfId="0" applyNumberFormat="1" applyFont="1" applyFill="1" applyBorder="1" applyAlignment="1">
      <alignment horizontal="right" wrapText="1"/>
    </xf>
    <xf numFmtId="4" fontId="8" fillId="5" borderId="1" xfId="0" applyNumberFormat="1" applyFont="1" applyFill="1" applyBorder="1"/>
    <xf numFmtId="4" fontId="8" fillId="5" borderId="14" xfId="0" applyNumberFormat="1" applyFont="1" applyFill="1" applyBorder="1"/>
    <xf numFmtId="4" fontId="8" fillId="5" borderId="52" xfId="0" applyNumberFormat="1" applyFont="1" applyFill="1" applyBorder="1" applyAlignment="1" applyProtection="1">
      <alignment horizontal="right" wrapText="1"/>
      <protection locked="0"/>
    </xf>
    <xf numFmtId="3" fontId="8" fillId="5" borderId="43" xfId="0" applyNumberFormat="1" applyFont="1" applyFill="1" applyBorder="1" applyAlignment="1">
      <alignment horizontal="right" wrapText="1"/>
    </xf>
    <xf numFmtId="3" fontId="8" fillId="5" borderId="43" xfId="0" applyNumberFormat="1" applyFont="1" applyFill="1" applyBorder="1"/>
    <xf numFmtId="3" fontId="7" fillId="5" borderId="43" xfId="0" applyNumberFormat="1" applyFont="1" applyFill="1" applyBorder="1" applyAlignment="1">
      <alignment horizontal="right" wrapText="1"/>
    </xf>
    <xf numFmtId="3" fontId="7" fillId="5" borderId="11" xfId="0" applyNumberFormat="1" applyFont="1" applyFill="1" applyBorder="1"/>
    <xf numFmtId="3" fontId="8" fillId="5" borderId="11" xfId="0" applyNumberFormat="1" applyFont="1" applyFill="1" applyBorder="1"/>
    <xf numFmtId="3" fontId="8" fillId="5" borderId="39" xfId="0" applyNumberFormat="1" applyFont="1" applyFill="1" applyBorder="1" applyAlignment="1">
      <alignment horizontal="right" wrapText="1"/>
    </xf>
    <xf numFmtId="0" fontId="8" fillId="5" borderId="3" xfId="0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right" wrapText="1"/>
    </xf>
    <xf numFmtId="0" fontId="7" fillId="5" borderId="43" xfId="0" applyFont="1" applyFill="1" applyBorder="1" applyAlignment="1">
      <alignment horizontal="right" wrapText="1"/>
    </xf>
    <xf numFmtId="4" fontId="8" fillId="5" borderId="43" xfId="0" applyNumberFormat="1" applyFont="1" applyFill="1" applyBorder="1"/>
    <xf numFmtId="4" fontId="7" fillId="5" borderId="1" xfId="0" applyNumberFormat="1" applyFont="1" applyFill="1" applyBorder="1" applyAlignment="1">
      <alignment wrapText="1"/>
    </xf>
    <xf numFmtId="4" fontId="7" fillId="5" borderId="1" xfId="0" applyNumberFormat="1" applyFont="1" applyFill="1" applyBorder="1" applyAlignment="1">
      <alignment horizontal="right" wrapText="1"/>
    </xf>
    <xf numFmtId="4" fontId="7" fillId="5" borderId="1" xfId="0" applyNumberFormat="1" applyFont="1" applyFill="1" applyBorder="1" applyAlignment="1">
      <alignment horizontal="right"/>
    </xf>
    <xf numFmtId="171" fontId="8" fillId="0" borderId="43" xfId="0" applyNumberFormat="1" applyFont="1" applyFill="1" applyBorder="1" applyAlignment="1" applyProtection="1">
      <alignment horizontal="right" wrapText="1"/>
      <protection locked="0"/>
    </xf>
    <xf numFmtId="0" fontId="8" fillId="5" borderId="53" xfId="0" applyFont="1" applyFill="1" applyBorder="1" applyAlignment="1" applyProtection="1">
      <alignment wrapText="1"/>
      <protection locked="0"/>
    </xf>
    <xf numFmtId="9" fontId="8" fillId="5" borderId="46" xfId="1" applyNumberFormat="1" applyFont="1" applyFill="1" applyBorder="1" applyAlignment="1" applyProtection="1">
      <alignment horizontal="right" wrapText="1"/>
      <protection locked="0"/>
    </xf>
    <xf numFmtId="9" fontId="8" fillId="5" borderId="7" xfId="1" applyFont="1" applyFill="1" applyBorder="1" applyAlignment="1" applyProtection="1">
      <alignment horizontal="right" wrapText="1"/>
      <protection locked="0"/>
    </xf>
    <xf numFmtId="4" fontId="8" fillId="5" borderId="52" xfId="0" quotePrefix="1" applyNumberFormat="1" applyFont="1" applyFill="1" applyBorder="1" applyAlignment="1" applyProtection="1">
      <alignment horizontal="right" wrapText="1"/>
      <protection locked="0"/>
    </xf>
    <xf numFmtId="0" fontId="8" fillId="5" borderId="53" xfId="0" applyFont="1" applyFill="1" applyBorder="1" applyAlignment="1">
      <alignment wrapText="1"/>
    </xf>
    <xf numFmtId="4" fontId="8" fillId="5" borderId="50" xfId="0" applyNumberFormat="1" applyFont="1" applyFill="1" applyBorder="1" applyAlignment="1" applyProtection="1">
      <alignment horizontal="right" wrapText="1"/>
      <protection locked="0"/>
    </xf>
    <xf numFmtId="4" fontId="7" fillId="5" borderId="50" xfId="0" applyNumberFormat="1" applyFont="1" applyFill="1" applyBorder="1" applyAlignment="1" applyProtection="1">
      <alignment horizontal="right" wrapText="1"/>
      <protection locked="0"/>
    </xf>
    <xf numFmtId="4" fontId="7" fillId="5" borderId="52" xfId="0" applyNumberFormat="1" applyFont="1" applyFill="1" applyBorder="1" applyAlignment="1" applyProtection="1">
      <alignment horizontal="right" wrapText="1"/>
      <protection locked="0"/>
    </xf>
    <xf numFmtId="0" fontId="9" fillId="0" borderId="54" xfId="0" applyFont="1" applyFill="1" applyBorder="1" applyAlignment="1" applyProtection="1">
      <alignment wrapText="1"/>
      <protection locked="0"/>
    </xf>
    <xf numFmtId="0" fontId="8" fillId="4" borderId="53" xfId="0" applyFont="1" applyFill="1" applyBorder="1" applyAlignment="1">
      <alignment wrapText="1"/>
    </xf>
    <xf numFmtId="171" fontId="8" fillId="5" borderId="43" xfId="0" quotePrefix="1" applyNumberFormat="1" applyFont="1" applyFill="1" applyBorder="1" applyAlignment="1" applyProtection="1">
      <alignment horizontal="right" wrapText="1"/>
      <protection locked="0"/>
    </xf>
    <xf numFmtId="4" fontId="8" fillId="5" borderId="51" xfId="0" quotePrefix="1" applyNumberFormat="1" applyFont="1" applyFill="1" applyBorder="1" applyAlignment="1" applyProtection="1">
      <alignment horizontal="right" wrapText="1"/>
      <protection locked="0"/>
    </xf>
    <xf numFmtId="4" fontId="8" fillId="5" borderId="51" xfId="0" applyNumberFormat="1" applyFont="1" applyFill="1" applyBorder="1" applyAlignment="1" applyProtection="1">
      <alignment horizontal="right" wrapText="1"/>
      <protection locked="0"/>
    </xf>
    <xf numFmtId="9" fontId="8" fillId="7" borderId="1" xfId="1" applyFont="1" applyFill="1" applyBorder="1" applyAlignment="1">
      <alignment horizontal="right"/>
    </xf>
    <xf numFmtId="9" fontId="8" fillId="10" borderId="1" xfId="1" applyFont="1" applyFill="1" applyBorder="1" applyAlignment="1">
      <alignment horizontal="right"/>
    </xf>
    <xf numFmtId="9" fontId="8" fillId="11" borderId="1" xfId="1" applyFont="1" applyFill="1" applyBorder="1" applyAlignment="1">
      <alignment horizontal="right"/>
    </xf>
    <xf numFmtId="4" fontId="7" fillId="5" borderId="51" xfId="0" applyNumberFormat="1" applyFont="1" applyFill="1" applyBorder="1" applyAlignment="1" applyProtection="1">
      <alignment horizontal="right" wrapText="1"/>
      <protection locked="0"/>
    </xf>
    <xf numFmtId="4" fontId="8" fillId="0" borderId="2" xfId="0" applyNumberFormat="1" applyFont="1" applyFill="1" applyBorder="1"/>
    <xf numFmtId="4" fontId="8" fillId="0" borderId="1" xfId="0" applyNumberFormat="1" applyFont="1" applyFill="1" applyBorder="1"/>
    <xf numFmtId="0" fontId="9" fillId="0" borderId="55" xfId="0" applyFont="1" applyFill="1" applyBorder="1" applyAlignment="1" applyProtection="1">
      <alignment wrapText="1"/>
      <protection locked="0"/>
    </xf>
    <xf numFmtId="4" fontId="7" fillId="0" borderId="56" xfId="0" applyNumberFormat="1" applyFont="1" applyFill="1" applyBorder="1" applyAlignment="1" applyProtection="1">
      <alignment horizontal="right" wrapText="1"/>
      <protection locked="0"/>
    </xf>
    <xf numFmtId="0" fontId="9" fillId="0" borderId="57" xfId="0" applyFont="1" applyFill="1" applyBorder="1" applyAlignment="1" applyProtection="1">
      <alignment wrapText="1"/>
      <protection locked="0"/>
    </xf>
    <xf numFmtId="4" fontId="7" fillId="0" borderId="58" xfId="0" applyNumberFormat="1" applyFont="1" applyFill="1" applyBorder="1" applyAlignment="1" applyProtection="1">
      <alignment horizontal="right" wrapText="1"/>
      <protection locked="0"/>
    </xf>
    <xf numFmtId="4" fontId="8" fillId="0" borderId="57" xfId="0" applyNumberFormat="1" applyFont="1" applyFill="1" applyBorder="1" applyAlignment="1" applyProtection="1">
      <alignment horizontal="right" wrapText="1"/>
      <protection locked="0"/>
    </xf>
    <xf numFmtId="4" fontId="8" fillId="5" borderId="57" xfId="0" applyNumberFormat="1" applyFont="1" applyFill="1" applyBorder="1" applyAlignment="1" applyProtection="1">
      <alignment horizontal="right" wrapText="1"/>
      <protection locked="0"/>
    </xf>
    <xf numFmtId="4" fontId="8" fillId="0" borderId="58" xfId="0" applyNumberFormat="1" applyFont="1" applyFill="1" applyBorder="1" applyAlignment="1" applyProtection="1">
      <alignment horizontal="right" wrapText="1"/>
      <protection locked="0"/>
    </xf>
    <xf numFmtId="4" fontId="7" fillId="0" borderId="57" xfId="0" applyNumberFormat="1" applyFont="1" applyFill="1" applyBorder="1" applyAlignment="1" applyProtection="1">
      <alignment horizontal="right" wrapText="1"/>
      <protection locked="0"/>
    </xf>
    <xf numFmtId="9" fontId="8" fillId="0" borderId="57" xfId="1" applyFont="1" applyFill="1" applyBorder="1" applyAlignment="1" applyProtection="1">
      <alignment horizontal="right" wrapText="1"/>
      <protection locked="0"/>
    </xf>
    <xf numFmtId="165" fontId="8" fillId="0" borderId="57" xfId="1" applyNumberFormat="1" applyFont="1" applyFill="1" applyBorder="1" applyAlignment="1" applyProtection="1">
      <alignment horizontal="right" wrapText="1"/>
      <protection locked="0"/>
    </xf>
    <xf numFmtId="165" fontId="8" fillId="0" borderId="57" xfId="1" quotePrefix="1" applyNumberFormat="1" applyFont="1" applyFill="1" applyBorder="1" applyAlignment="1" applyProtection="1">
      <alignment horizontal="right" wrapText="1"/>
      <protection locked="0"/>
    </xf>
    <xf numFmtId="4" fontId="8" fillId="0" borderId="57" xfId="0" quotePrefix="1" applyNumberFormat="1" applyFont="1" applyFill="1" applyBorder="1" applyAlignment="1" applyProtection="1">
      <alignment horizontal="right" wrapText="1"/>
      <protection locked="0"/>
    </xf>
    <xf numFmtId="4" fontId="7" fillId="0" borderId="57" xfId="0" applyNumberFormat="1" applyFont="1" applyFill="1" applyBorder="1" applyAlignment="1" applyProtection="1">
      <alignment wrapText="1"/>
      <protection locked="0"/>
    </xf>
    <xf numFmtId="0" fontId="7" fillId="0" borderId="57" xfId="0" applyFont="1" applyFill="1" applyBorder="1" applyAlignment="1" applyProtection="1">
      <alignment horizontal="right" wrapText="1"/>
      <protection locked="0"/>
    </xf>
    <xf numFmtId="0" fontId="8" fillId="5" borderId="53" xfId="0" applyFont="1" applyFill="1" applyBorder="1" applyAlignment="1">
      <alignment horizontal="right" wrapText="1"/>
    </xf>
    <xf numFmtId="0" fontId="9" fillId="0" borderId="50" xfId="0" applyFont="1" applyFill="1" applyBorder="1" applyAlignment="1" applyProtection="1">
      <alignment wrapText="1"/>
      <protection locked="0"/>
    </xf>
    <xf numFmtId="4" fontId="7" fillId="0" borderId="59" xfId="0" applyNumberFormat="1" applyFont="1" applyFill="1" applyBorder="1" applyAlignment="1" applyProtection="1">
      <alignment horizontal="right" wrapText="1"/>
      <protection locked="0"/>
    </xf>
    <xf numFmtId="4" fontId="7" fillId="5" borderId="59" xfId="0" applyNumberFormat="1" applyFont="1" applyFill="1" applyBorder="1" applyAlignment="1" applyProtection="1">
      <alignment horizontal="right" wrapText="1"/>
      <protection locked="0"/>
    </xf>
    <xf numFmtId="0" fontId="9" fillId="0" borderId="46" xfId="0" applyFont="1" applyFill="1" applyBorder="1" applyAlignment="1" applyProtection="1">
      <alignment wrapText="1"/>
      <protection locked="0"/>
    </xf>
    <xf numFmtId="4" fontId="8" fillId="0" borderId="55" xfId="0" applyNumberFormat="1" applyFont="1" applyFill="1" applyBorder="1" applyAlignment="1" applyProtection="1">
      <alignment horizontal="right" wrapText="1"/>
      <protection locked="0"/>
    </xf>
    <xf numFmtId="4" fontId="8" fillId="0" borderId="55" xfId="0" quotePrefix="1" applyNumberFormat="1" applyFont="1" applyFill="1" applyBorder="1" applyAlignment="1" applyProtection="1">
      <alignment horizontal="right" wrapText="1"/>
      <protection locked="0"/>
    </xf>
    <xf numFmtId="4" fontId="8" fillId="0" borderId="56" xfId="0" applyNumberFormat="1" applyFont="1" applyFill="1" applyBorder="1" applyAlignment="1" applyProtection="1">
      <alignment horizontal="right" wrapText="1"/>
      <protection locked="0"/>
    </xf>
    <xf numFmtId="4" fontId="7" fillId="0" borderId="55" xfId="0" applyNumberFormat="1" applyFont="1" applyFill="1" applyBorder="1" applyAlignment="1" applyProtection="1">
      <alignment horizontal="right" wrapText="1"/>
      <protection locked="0"/>
    </xf>
    <xf numFmtId="9" fontId="8" fillId="5" borderId="1" xfId="1" applyNumberFormat="1" applyFont="1" applyFill="1" applyBorder="1" applyAlignment="1" applyProtection="1">
      <alignment horizontal="right" wrapText="1"/>
      <protection locked="0"/>
    </xf>
    <xf numFmtId="0" fontId="8" fillId="5" borderId="43" xfId="0" applyFont="1" applyFill="1" applyBorder="1" applyAlignment="1" applyProtection="1">
      <alignment horizontal="right" wrapText="1"/>
      <protection locked="0"/>
    </xf>
    <xf numFmtId="4" fontId="8" fillId="5" borderId="55" xfId="0" applyNumberFormat="1" applyFont="1" applyFill="1" applyBorder="1" applyAlignment="1" applyProtection="1">
      <alignment horizontal="right" wrapText="1"/>
      <protection locked="0"/>
    </xf>
    <xf numFmtId="4" fontId="8" fillId="5" borderId="55" xfId="0" quotePrefix="1" applyNumberFormat="1" applyFont="1" applyFill="1" applyBorder="1" applyAlignment="1" applyProtection="1">
      <alignment horizontal="right" wrapText="1"/>
      <protection locked="0"/>
    </xf>
    <xf numFmtId="4" fontId="7" fillId="5" borderId="55" xfId="0" applyNumberFormat="1" applyFont="1" applyFill="1" applyBorder="1" applyAlignment="1" applyProtection="1">
      <alignment horizontal="right" wrapText="1"/>
      <protection locked="0"/>
    </xf>
    <xf numFmtId="4" fontId="8" fillId="5" borderId="59" xfId="0" applyNumberFormat="1" applyFont="1" applyFill="1" applyBorder="1" applyAlignment="1" applyProtection="1">
      <alignment horizontal="right" wrapText="1"/>
      <protection locked="0"/>
    </xf>
    <xf numFmtId="0" fontId="11" fillId="13" borderId="10" xfId="0" applyFont="1" applyFill="1" applyBorder="1" applyAlignment="1">
      <alignment horizontal="left" vertical="center" wrapText="1"/>
    </xf>
    <xf numFmtId="0" fontId="11" fillId="13" borderId="5" xfId="0" applyFont="1" applyFill="1" applyBorder="1" applyAlignment="1">
      <alignment horizontal="left" vertical="center" wrapText="1"/>
    </xf>
    <xf numFmtId="165" fontId="8" fillId="0" borderId="53" xfId="1" applyNumberFormat="1" applyFont="1" applyFill="1" applyBorder="1" applyAlignment="1" applyProtection="1">
      <alignment horizontal="right" wrapText="1"/>
      <protection locked="0"/>
    </xf>
    <xf numFmtId="9" fontId="8" fillId="0" borderId="53" xfId="1" applyNumberFormat="1" applyFont="1" applyFill="1" applyBorder="1" applyAlignment="1" applyProtection="1">
      <alignment horizontal="right" wrapText="1"/>
      <protection locked="0"/>
    </xf>
    <xf numFmtId="165" fontId="8" fillId="5" borderId="53" xfId="1" applyNumberFormat="1" applyFont="1" applyFill="1" applyBorder="1" applyAlignment="1" applyProtection="1">
      <alignment horizontal="right" wrapText="1"/>
      <protection locked="0"/>
    </xf>
    <xf numFmtId="0" fontId="8" fillId="0" borderId="53" xfId="0" applyFont="1" applyFill="1" applyBorder="1" applyAlignment="1" applyProtection="1">
      <alignment horizontal="right" wrapText="1"/>
      <protection locked="0"/>
    </xf>
  </cellXfs>
  <cellStyles count="160">
    <cellStyle name="20 % - Akzent1 2" xfId="7" xr:uid="{00000000-0005-0000-0000-000000000000}"/>
    <cellStyle name="20 % - Akzent2 2" xfId="8" xr:uid="{00000000-0005-0000-0000-000001000000}"/>
    <cellStyle name="20 % - Akzent3 2" xfId="9" xr:uid="{00000000-0005-0000-0000-000002000000}"/>
    <cellStyle name="20 % - Akzent4 2" xfId="10" xr:uid="{00000000-0005-0000-0000-000003000000}"/>
    <cellStyle name="20 % - Akzent5 2" xfId="11" xr:uid="{00000000-0005-0000-0000-000004000000}"/>
    <cellStyle name="20 % - Akzent6 2" xfId="12" xr:uid="{00000000-0005-0000-0000-000005000000}"/>
    <cellStyle name="20% - Accent1" xfId="94" xr:uid="{00000000-0005-0000-0000-000006000000}"/>
    <cellStyle name="20% - Accent2" xfId="95" xr:uid="{00000000-0005-0000-0000-000007000000}"/>
    <cellStyle name="20% - Accent3" xfId="96" xr:uid="{00000000-0005-0000-0000-000008000000}"/>
    <cellStyle name="20% - Accent4" xfId="97" xr:uid="{00000000-0005-0000-0000-000009000000}"/>
    <cellStyle name="20% - Accent5" xfId="98" xr:uid="{00000000-0005-0000-0000-00000A000000}"/>
    <cellStyle name="20% - Accent6" xfId="99" xr:uid="{00000000-0005-0000-0000-00000B000000}"/>
    <cellStyle name="20% - Akzent1" xfId="13" xr:uid="{00000000-0005-0000-0000-00000C000000}"/>
    <cellStyle name="20% - Akzent2" xfId="14" xr:uid="{00000000-0005-0000-0000-00000D000000}"/>
    <cellStyle name="20% - Akzent3" xfId="15" xr:uid="{00000000-0005-0000-0000-00000E000000}"/>
    <cellStyle name="20% - Akzent4" xfId="16" xr:uid="{00000000-0005-0000-0000-00000F000000}"/>
    <cellStyle name="20% - Akzent5" xfId="17" xr:uid="{00000000-0005-0000-0000-000010000000}"/>
    <cellStyle name="20% - Akzent6" xfId="18" xr:uid="{00000000-0005-0000-0000-000011000000}"/>
    <cellStyle name="40 % - Akzent1 2" xfId="19" xr:uid="{00000000-0005-0000-0000-000012000000}"/>
    <cellStyle name="40 % - Akzent2 2" xfId="20" xr:uid="{00000000-0005-0000-0000-000013000000}"/>
    <cellStyle name="40 % - Akzent3 2" xfId="21" xr:uid="{00000000-0005-0000-0000-000014000000}"/>
    <cellStyle name="40 % - Akzent4 2" xfId="22" xr:uid="{00000000-0005-0000-0000-000015000000}"/>
    <cellStyle name="40 % - Akzent5 2" xfId="23" xr:uid="{00000000-0005-0000-0000-000016000000}"/>
    <cellStyle name="40 % - Akzent6 2" xfId="24" xr:uid="{00000000-0005-0000-0000-000017000000}"/>
    <cellStyle name="40% - Accent1" xfId="100" xr:uid="{00000000-0005-0000-0000-000018000000}"/>
    <cellStyle name="40% - Accent2" xfId="101" xr:uid="{00000000-0005-0000-0000-000019000000}"/>
    <cellStyle name="40% - Accent3" xfId="102" xr:uid="{00000000-0005-0000-0000-00001A000000}"/>
    <cellStyle name="40% - Accent4" xfId="103" xr:uid="{00000000-0005-0000-0000-00001B000000}"/>
    <cellStyle name="40% - Accent5" xfId="104" xr:uid="{00000000-0005-0000-0000-00001C000000}"/>
    <cellStyle name="40% - Accent6" xfId="105" xr:uid="{00000000-0005-0000-0000-00001D000000}"/>
    <cellStyle name="40% - Akzent1" xfId="25" xr:uid="{00000000-0005-0000-0000-00001E000000}"/>
    <cellStyle name="40% - Akzent2" xfId="26" xr:uid="{00000000-0005-0000-0000-00001F000000}"/>
    <cellStyle name="40% - Akzent3" xfId="27" xr:uid="{00000000-0005-0000-0000-000020000000}"/>
    <cellStyle name="40% - Akzent4" xfId="28" xr:uid="{00000000-0005-0000-0000-000021000000}"/>
    <cellStyle name="40% - Akzent5" xfId="29" xr:uid="{00000000-0005-0000-0000-000022000000}"/>
    <cellStyle name="40% - Akzent6" xfId="30" xr:uid="{00000000-0005-0000-0000-000023000000}"/>
    <cellStyle name="60 % - Akzent1 2" xfId="31" xr:uid="{00000000-0005-0000-0000-000024000000}"/>
    <cellStyle name="60 % - Akzent2 2" xfId="32" xr:uid="{00000000-0005-0000-0000-000025000000}"/>
    <cellStyle name="60 % - Akzent3 2" xfId="33" xr:uid="{00000000-0005-0000-0000-000026000000}"/>
    <cellStyle name="60 % - Akzent4 2" xfId="34" xr:uid="{00000000-0005-0000-0000-000027000000}"/>
    <cellStyle name="60 % - Akzent5 2" xfId="35" xr:uid="{00000000-0005-0000-0000-000028000000}"/>
    <cellStyle name="60 % - Akzent6 2" xfId="36" xr:uid="{00000000-0005-0000-0000-000029000000}"/>
    <cellStyle name="60% - Accent1" xfId="106" xr:uid="{00000000-0005-0000-0000-00002A000000}"/>
    <cellStyle name="60% - Accent2" xfId="107" xr:uid="{00000000-0005-0000-0000-00002B000000}"/>
    <cellStyle name="60% - Accent3" xfId="108" xr:uid="{00000000-0005-0000-0000-00002C000000}"/>
    <cellStyle name="60% - Accent4" xfId="109" xr:uid="{00000000-0005-0000-0000-00002D000000}"/>
    <cellStyle name="60% - Accent5" xfId="110" xr:uid="{00000000-0005-0000-0000-00002E000000}"/>
    <cellStyle name="60% - Accent6" xfId="111" xr:uid="{00000000-0005-0000-0000-00002F000000}"/>
    <cellStyle name="60% - Akzent1" xfId="37" xr:uid="{00000000-0005-0000-0000-000030000000}"/>
    <cellStyle name="60% - Akzent2" xfId="38" xr:uid="{00000000-0005-0000-0000-000031000000}"/>
    <cellStyle name="60% - Akzent3" xfId="39" xr:uid="{00000000-0005-0000-0000-000032000000}"/>
    <cellStyle name="60% - Akzent4" xfId="40" xr:uid="{00000000-0005-0000-0000-000033000000}"/>
    <cellStyle name="60% - Akzent5" xfId="41" xr:uid="{00000000-0005-0000-0000-000034000000}"/>
    <cellStyle name="60% - Akzent6" xfId="42" xr:uid="{00000000-0005-0000-0000-000035000000}"/>
    <cellStyle name="Accent1" xfId="112" xr:uid="{00000000-0005-0000-0000-000036000000}"/>
    <cellStyle name="Accent2" xfId="113" xr:uid="{00000000-0005-0000-0000-000037000000}"/>
    <cellStyle name="Accent3" xfId="114" xr:uid="{00000000-0005-0000-0000-000038000000}"/>
    <cellStyle name="Accent4" xfId="115" xr:uid="{00000000-0005-0000-0000-000039000000}"/>
    <cellStyle name="Accent5" xfId="116" xr:uid="{00000000-0005-0000-0000-00003A000000}"/>
    <cellStyle name="Accent6" xfId="117" xr:uid="{00000000-0005-0000-0000-00003B000000}"/>
    <cellStyle name="Akzent1 2" xfId="43" xr:uid="{00000000-0005-0000-0000-00003C000000}"/>
    <cellStyle name="Akzent2 2" xfId="44" xr:uid="{00000000-0005-0000-0000-00003D000000}"/>
    <cellStyle name="Akzent3 2" xfId="45" xr:uid="{00000000-0005-0000-0000-00003E000000}"/>
    <cellStyle name="Akzent4 2" xfId="46" xr:uid="{00000000-0005-0000-0000-00003F000000}"/>
    <cellStyle name="Akzent5 2" xfId="47" xr:uid="{00000000-0005-0000-0000-000040000000}"/>
    <cellStyle name="Akzent6 2" xfId="48" xr:uid="{00000000-0005-0000-0000-000041000000}"/>
    <cellStyle name="Ausgabe 2" xfId="49" xr:uid="{00000000-0005-0000-0000-000042000000}"/>
    <cellStyle name="Avant10" xfId="69" xr:uid="{00000000-0005-0000-0000-000043000000}"/>
    <cellStyle name="Bad" xfId="118" xr:uid="{00000000-0005-0000-0000-000044000000}"/>
    <cellStyle name="Berechnung 2" xfId="50" xr:uid="{00000000-0005-0000-0000-000045000000}"/>
    <cellStyle name="bg" xfId="70" xr:uid="{00000000-0005-0000-0000-000046000000}"/>
    <cellStyle name="Calculation" xfId="119" xr:uid="{00000000-0005-0000-0000-000047000000}"/>
    <cellStyle name="cgf10" xfId="71" xr:uid="{00000000-0005-0000-0000-000048000000}"/>
    <cellStyle name="cgfett#" xfId="72" xr:uid="{00000000-0005-0000-0000-000049000000}"/>
    <cellStyle name="Check Cell" xfId="120" xr:uid="{00000000-0005-0000-0000-00004A000000}"/>
    <cellStyle name="Eingabe 2" xfId="51" xr:uid="{00000000-0005-0000-0000-00004B000000}"/>
    <cellStyle name="Ergebnis 2" xfId="52" xr:uid="{00000000-0005-0000-0000-00004C000000}"/>
    <cellStyle name="Erklärender Text 2" xfId="53" xr:uid="{00000000-0005-0000-0000-00004D000000}"/>
    <cellStyle name="Euro" xfId="73" xr:uid="{00000000-0005-0000-0000-00004E000000}"/>
    <cellStyle name="Explanatory Text" xfId="121" xr:uid="{00000000-0005-0000-0000-00004F000000}"/>
    <cellStyle name="formel" xfId="74" xr:uid="{00000000-0005-0000-0000-000050000000}"/>
    <cellStyle name="gesperrt" xfId="75" xr:uid="{00000000-0005-0000-0000-000051000000}"/>
    <cellStyle name="Good" xfId="122" xr:uid="{00000000-0005-0000-0000-000052000000}"/>
    <cellStyle name="Gut 2" xfId="54" xr:uid="{00000000-0005-0000-0000-000053000000}"/>
    <cellStyle name="Hard no." xfId="76" xr:uid="{00000000-0005-0000-0000-000054000000}"/>
    <cellStyle name="Heading 1" xfId="123" xr:uid="{00000000-0005-0000-0000-000055000000}"/>
    <cellStyle name="Heading 2" xfId="124" xr:uid="{00000000-0005-0000-0000-000056000000}"/>
    <cellStyle name="Heading 3" xfId="125" xr:uid="{00000000-0005-0000-0000-000057000000}"/>
    <cellStyle name="Heading 4" xfId="126" xr:uid="{00000000-0005-0000-0000-000058000000}"/>
    <cellStyle name="Input" xfId="127" xr:uid="{00000000-0005-0000-0000-000059000000}"/>
    <cellStyle name="Komma 2" xfId="2" xr:uid="{00000000-0005-0000-0000-00005A000000}"/>
    <cellStyle name="Komma 3" xfId="135" xr:uid="{00000000-0005-0000-0000-00005B000000}"/>
    <cellStyle name="Komma 4" xfId="158" xr:uid="{00000000-0005-0000-0000-00005C000000}"/>
    <cellStyle name="Linked Cell" xfId="128" xr:uid="{00000000-0005-0000-0000-00005D000000}"/>
    <cellStyle name="Migliaia (0)" xfId="77" xr:uid="{00000000-0005-0000-0000-00005E000000}"/>
    <cellStyle name="Neutral 2" xfId="55" xr:uid="{00000000-0005-0000-0000-00005F000000}"/>
    <cellStyle name="nicht gesperrt" xfId="78" xr:uid="{00000000-0005-0000-0000-000060000000}"/>
    <cellStyle name="Normalny_Anlage G_1" xfId="79" xr:uid="{00000000-0005-0000-0000-000061000000}"/>
    <cellStyle name="Note" xfId="129" xr:uid="{00000000-0005-0000-0000-000062000000}"/>
    <cellStyle name="Notiz 2" xfId="56" xr:uid="{00000000-0005-0000-0000-000063000000}"/>
    <cellStyle name="Output" xfId="130" xr:uid="{00000000-0005-0000-0000-000064000000}"/>
    <cellStyle name="Prozent" xfId="1" builtinId="5"/>
    <cellStyle name="Prozent 2" xfId="3" xr:uid="{00000000-0005-0000-0000-000066000000}"/>
    <cellStyle name="Prozent 2 2" xfId="68" xr:uid="{00000000-0005-0000-0000-000067000000}"/>
    <cellStyle name="Prozent 3" xfId="4" xr:uid="{00000000-0005-0000-0000-000068000000}"/>
    <cellStyle name="Prozent 3 2" xfId="91" xr:uid="{00000000-0005-0000-0000-000069000000}"/>
    <cellStyle name="Rahmen fett links" xfId="80" xr:uid="{00000000-0005-0000-0000-00006A000000}"/>
    <cellStyle name="Rahmen fett rechts" xfId="81" xr:uid="{00000000-0005-0000-0000-00006B000000}"/>
    <cellStyle name="Rahmen fett unten" xfId="82" xr:uid="{00000000-0005-0000-0000-00006C000000}"/>
    <cellStyle name="Schlecht 2" xfId="57" xr:uid="{00000000-0005-0000-0000-00006D000000}"/>
    <cellStyle name="schraffiert" xfId="83" xr:uid="{00000000-0005-0000-0000-00006E000000}"/>
    <cellStyle name="Standard" xfId="0" builtinId="0"/>
    <cellStyle name="Standard 2" xfId="5" xr:uid="{00000000-0005-0000-0000-000070000000}"/>
    <cellStyle name="Standard 2 2" xfId="67" xr:uid="{00000000-0005-0000-0000-000071000000}"/>
    <cellStyle name="Standard 2 3" xfId="93" xr:uid="{00000000-0005-0000-0000-000072000000}"/>
    <cellStyle name="Standard 3" xfId="66" xr:uid="{00000000-0005-0000-0000-000073000000}"/>
    <cellStyle name="Standard 3 2" xfId="138" xr:uid="{00000000-0005-0000-0000-000074000000}"/>
    <cellStyle name="Standard 3 3" xfId="156" xr:uid="{00000000-0005-0000-0000-000075000000}"/>
    <cellStyle name="Standard 4" xfId="90" xr:uid="{00000000-0005-0000-0000-000076000000}"/>
    <cellStyle name="Standard 5" xfId="6" xr:uid="{00000000-0005-0000-0000-000077000000}"/>
    <cellStyle name="Standard 5 2" xfId="134" xr:uid="{00000000-0005-0000-0000-000078000000}"/>
    <cellStyle name="Standard 5 3" xfId="142" xr:uid="{00000000-0005-0000-0000-000079000000}"/>
    <cellStyle name="Standard 6" xfId="92" xr:uid="{00000000-0005-0000-0000-00007A000000}"/>
    <cellStyle name="Standard 6 2" xfId="136" xr:uid="{00000000-0005-0000-0000-00007B000000}"/>
    <cellStyle name="Standard 6 2 2" xfId="140" xr:uid="{00000000-0005-0000-0000-00007C000000}"/>
    <cellStyle name="Standard 6 2 2 2" xfId="146" xr:uid="{00000000-0005-0000-0000-00007D000000}"/>
    <cellStyle name="Standard 6 2 2 2 2" xfId="154" xr:uid="{00000000-0005-0000-0000-00007E000000}"/>
    <cellStyle name="Standard 6 2 2 3" xfId="150" xr:uid="{00000000-0005-0000-0000-00007F000000}"/>
    <cellStyle name="Standard 6 2 3" xfId="144" xr:uid="{00000000-0005-0000-0000-000080000000}"/>
    <cellStyle name="Standard 6 2 3 2" xfId="152" xr:uid="{00000000-0005-0000-0000-000081000000}"/>
    <cellStyle name="Standard 6 2 4" xfId="148" xr:uid="{00000000-0005-0000-0000-000082000000}"/>
    <cellStyle name="Standard 6 3" xfId="143" xr:uid="{00000000-0005-0000-0000-000083000000}"/>
    <cellStyle name="Standard 7" xfId="139" xr:uid="{00000000-0005-0000-0000-000084000000}"/>
    <cellStyle name="Standard 7 2" xfId="141" xr:uid="{00000000-0005-0000-0000-000085000000}"/>
    <cellStyle name="Standard 7 2 2" xfId="147" xr:uid="{00000000-0005-0000-0000-000086000000}"/>
    <cellStyle name="Standard 7 2 2 2" xfId="155" xr:uid="{00000000-0005-0000-0000-000087000000}"/>
    <cellStyle name="Standard 7 2 3" xfId="151" xr:uid="{00000000-0005-0000-0000-000088000000}"/>
    <cellStyle name="Standard 7 3" xfId="145" xr:uid="{00000000-0005-0000-0000-000089000000}"/>
    <cellStyle name="Standard 7 3 2" xfId="153" xr:uid="{00000000-0005-0000-0000-00008A000000}"/>
    <cellStyle name="Standard 7 4" xfId="149" xr:uid="{00000000-0005-0000-0000-00008B000000}"/>
    <cellStyle name="Standard 8" xfId="157" xr:uid="{00000000-0005-0000-0000-00008C000000}"/>
    <cellStyle name="Standard 9" xfId="159" xr:uid="{00000000-0005-0000-0000-00008D000000}"/>
    <cellStyle name="Titel" xfId="84" xr:uid="{00000000-0005-0000-0000-00008E000000}"/>
    <cellStyle name="Title" xfId="131" xr:uid="{00000000-0005-0000-0000-00008F000000}"/>
    <cellStyle name="Total" xfId="132" xr:uid="{00000000-0005-0000-0000-000090000000}"/>
    <cellStyle name="Überschrift 1 2" xfId="59" xr:uid="{00000000-0005-0000-0000-000091000000}"/>
    <cellStyle name="Überschrift 2 2" xfId="60" xr:uid="{00000000-0005-0000-0000-000092000000}"/>
    <cellStyle name="Überschrift 3 2" xfId="61" xr:uid="{00000000-0005-0000-0000-000093000000}"/>
    <cellStyle name="Überschrift 4 2" xfId="62" xr:uid="{00000000-0005-0000-0000-000094000000}"/>
    <cellStyle name="Überschrift 5" xfId="58" xr:uid="{00000000-0005-0000-0000-000095000000}"/>
    <cellStyle name="Überschrift 6" xfId="137" xr:uid="{00000000-0005-0000-0000-000096000000}"/>
    <cellStyle name="Ueberschrift 1" xfId="85" xr:uid="{00000000-0005-0000-0000-000097000000}"/>
    <cellStyle name="Ueberschrift 2" xfId="86" xr:uid="{00000000-0005-0000-0000-000098000000}"/>
    <cellStyle name="Valuta (0)" xfId="87" xr:uid="{00000000-0005-0000-0000-000099000000}"/>
    <cellStyle name="Verknüpfte Zelle 2" xfId="63" xr:uid="{00000000-0005-0000-0000-00009A000000}"/>
    <cellStyle name="Warnender Text 2" xfId="64" xr:uid="{00000000-0005-0000-0000-00009B000000}"/>
    <cellStyle name="Warning Text" xfId="133" xr:uid="{00000000-0005-0000-0000-00009C000000}"/>
    <cellStyle name="zahl" xfId="88" xr:uid="{00000000-0005-0000-0000-00009D000000}"/>
    <cellStyle name="Zelle überprüfen 2" xfId="65" xr:uid="{00000000-0005-0000-0000-00009E000000}"/>
    <cellStyle name="zentr.ü.Ausw." xfId="89" xr:uid="{00000000-0005-0000-0000-00009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TVIEDC9/14/KOKO/Konzernkommunikation/Investor%20Relations/Berichte/QB/2017/3M/3M%202017_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"/>
      <sheetName val="North + West"/>
      <sheetName val="South + East"/>
      <sheetName val="International + Special Divisio"/>
      <sheetName val="Other"/>
    </sheetNames>
    <sheetDataSet>
      <sheetData sheetId="0">
        <row r="2">
          <cell r="E2">
            <v>13491.03</v>
          </cell>
        </row>
        <row r="3">
          <cell r="E3">
            <v>14815.789999999999</v>
          </cell>
        </row>
        <row r="152">
          <cell r="E152">
            <v>71839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10"/>
  <sheetViews>
    <sheetView tabSelected="1" view="pageBreakPreview" zoomScaleNormal="100" zoomScaleSheetLayoutView="100" workbookViewId="0">
      <pane xSplit="1" ySplit="1" topLeftCell="B2" activePane="bottomRight" state="frozen"/>
      <selection activeCell="G198" sqref="G198"/>
      <selection pane="topRight" activeCell="G198" sqref="G198"/>
      <selection pane="bottomLeft" activeCell="G198" sqref="G198"/>
      <selection pane="bottomRight"/>
    </sheetView>
  </sheetViews>
  <sheetFormatPr baseColWidth="10" defaultColWidth="22.453125" defaultRowHeight="10"/>
  <cols>
    <col min="1" max="1" width="22.453125" style="6" customWidth="1"/>
    <col min="2" max="10" width="10.81640625" style="13" customWidth="1"/>
    <col min="11" max="16384" width="22.453125" style="6"/>
  </cols>
  <sheetData>
    <row r="1" spans="1:11" s="1" customFormat="1" ht="24.75" customHeight="1">
      <c r="A1" s="151" t="s">
        <v>0</v>
      </c>
      <c r="B1" s="152">
        <v>2019</v>
      </c>
      <c r="C1" s="152" t="s">
        <v>156</v>
      </c>
      <c r="D1" s="152">
        <v>2018</v>
      </c>
      <c r="E1" s="152" t="s">
        <v>151</v>
      </c>
      <c r="F1" s="152">
        <v>2017</v>
      </c>
      <c r="G1" s="152" t="s">
        <v>135</v>
      </c>
      <c r="H1" s="152">
        <v>2016</v>
      </c>
      <c r="I1" s="152" t="s">
        <v>130</v>
      </c>
      <c r="J1" s="152">
        <v>2015</v>
      </c>
    </row>
    <row r="2" spans="1:11" s="2" customFormat="1" ht="10.5">
      <c r="A2" s="153" t="s">
        <v>1</v>
      </c>
      <c r="B2" s="219">
        <f>B187</f>
        <v>16617.97</v>
      </c>
      <c r="C2" s="154">
        <f>IF((+B2/D2)&lt;0,"n.m.",IF(B2&lt;0,(+B2/D2-1)*-1,(+B2/D2-1)))</f>
        <v>1.8078304808955226E-2</v>
      </c>
      <c r="D2" s="219">
        <f>D187</f>
        <v>16322.880000000001</v>
      </c>
      <c r="E2" s="154">
        <f>IF((+D2/F2)&lt;0,"n.m.",IF(D2&lt;0,(+D2/F2-1)*-1,(+D2/F2-1)))</f>
        <v>0.11640809827582332</v>
      </c>
      <c r="F2" s="219">
        <f>F187</f>
        <v>14620.89</v>
      </c>
      <c r="G2" s="154">
        <f>IF((+F2/H2)&lt;0,"n.m.",IF(F2&lt;0,(+F2/H2-1)*-1,(+F2/H2-1)))</f>
        <v>8.3748979877740881E-2</v>
      </c>
      <c r="H2" s="219">
        <f t="shared" ref="H2" si="0">H187</f>
        <v>13491.03</v>
      </c>
      <c r="I2" s="196">
        <f t="shared" ref="I2:I22" si="1">IF((+H2/J2)&lt;0,"n.m.",IF(H2&lt;0,(+H2/J2-1)*-1,(+H2/J2-1)))</f>
        <v>-5.5895270459405899E-2</v>
      </c>
      <c r="J2" s="219">
        <f>J187</f>
        <v>14289.76</v>
      </c>
    </row>
    <row r="3" spans="1:11" s="2" customFormat="1" ht="10.5">
      <c r="A3" s="153" t="s">
        <v>2</v>
      </c>
      <c r="B3" s="219">
        <f>B217</f>
        <v>17411.48</v>
      </c>
      <c r="C3" s="154">
        <f t="shared" ref="C3:C22" si="2">IF((+B3/D3)&lt;0,"n.m.",IF(B3&lt;0,(+B3/D3-1)*-1,(+B3/D3-1)))</f>
        <v>3.0282768165844187E-2</v>
      </c>
      <c r="D3" s="219">
        <f>D217</f>
        <v>16899.71</v>
      </c>
      <c r="E3" s="154">
        <f t="shared" ref="E3:E34" si="3">IF((+D3/F3)&lt;0,"n.m.",IF(D3&lt;0,(+D3/F3-1)*-1,(+D3/F3-1)))</f>
        <v>1.8553665138408171E-2</v>
      </c>
      <c r="F3" s="219">
        <f>F217</f>
        <v>16591.87</v>
      </c>
      <c r="G3" s="154">
        <f t="shared" ref="G3:G28" si="4">IF((+F3/H3)&lt;0,"n.m.",IF(F3&lt;0,(+F3/H3-1)*-1,(+F3/H3-1)))</f>
        <v>0.11987750906296601</v>
      </c>
      <c r="H3" s="219">
        <f>H217</f>
        <v>14815.789999999999</v>
      </c>
      <c r="I3" s="196">
        <f t="shared" si="1"/>
        <v>0.1279987635691433</v>
      </c>
      <c r="J3" s="219">
        <f>J217</f>
        <v>13134.58</v>
      </c>
    </row>
    <row r="4" spans="1:11" s="2" customFormat="1" ht="10.5">
      <c r="A4" s="153" t="s">
        <v>3</v>
      </c>
      <c r="B4" s="197">
        <v>15668.57</v>
      </c>
      <c r="C4" s="154">
        <f t="shared" si="2"/>
        <v>2.9348504174793177E-2</v>
      </c>
      <c r="D4" s="197">
        <v>15221.832</v>
      </c>
      <c r="E4" s="154">
        <f t="shared" si="3"/>
        <v>0.12681527191325315</v>
      </c>
      <c r="F4" s="189">
        <v>13508.72</v>
      </c>
      <c r="G4" s="154">
        <f t="shared" si="4"/>
        <v>8.9372491020494493E-2</v>
      </c>
      <c r="H4" s="189">
        <v>12400.46</v>
      </c>
      <c r="I4" s="196">
        <f t="shared" si="1"/>
        <v>-5.5093618460957061E-2</v>
      </c>
      <c r="J4" s="197">
        <v>13123.48</v>
      </c>
      <c r="K4" s="353"/>
    </row>
    <row r="5" spans="1:11">
      <c r="A5" s="155" t="s">
        <v>4</v>
      </c>
      <c r="B5" s="156">
        <v>24.94</v>
      </c>
      <c r="C5" s="202" t="str">
        <f t="shared" si="2"/>
        <v>n.m.</v>
      </c>
      <c r="D5" s="156">
        <v>-66.328000000000003</v>
      </c>
      <c r="E5" s="202">
        <f t="shared" si="3"/>
        <v>-7.5705481673694619E-2</v>
      </c>
      <c r="F5" s="194">
        <v>-61.66</v>
      </c>
      <c r="G5" s="202" t="str">
        <f t="shared" si="4"/>
        <v>n.m.</v>
      </c>
      <c r="H5" s="194">
        <v>51.39</v>
      </c>
      <c r="I5" s="203" t="str">
        <f t="shared" si="1"/>
        <v>n.m.</v>
      </c>
      <c r="J5" s="156">
        <v>-26.19</v>
      </c>
    </row>
    <row r="6" spans="1:11">
      <c r="A6" s="155" t="s">
        <v>5</v>
      </c>
      <c r="B6" s="156">
        <v>6.42</v>
      </c>
      <c r="C6" s="202">
        <f t="shared" si="2"/>
        <v>-0.80702176265480341</v>
      </c>
      <c r="D6" s="156">
        <v>33.268000000000001</v>
      </c>
      <c r="E6" s="202">
        <f t="shared" si="3"/>
        <v>1.4515843773028738</v>
      </c>
      <c r="F6" s="194">
        <v>13.57</v>
      </c>
      <c r="G6" s="202">
        <f t="shared" si="4"/>
        <v>2.2620192307692308</v>
      </c>
      <c r="H6" s="194">
        <v>4.16</v>
      </c>
      <c r="I6" s="203">
        <f t="shared" si="1"/>
        <v>-0.27777777777777768</v>
      </c>
      <c r="J6" s="156">
        <v>5.76</v>
      </c>
    </row>
    <row r="7" spans="1:11">
      <c r="A7" s="155" t="s">
        <v>6</v>
      </c>
      <c r="B7" s="156">
        <v>233.14</v>
      </c>
      <c r="C7" s="202">
        <f t="shared" si="2"/>
        <v>4.557869197271458E-2</v>
      </c>
      <c r="D7" s="156">
        <v>222.977</v>
      </c>
      <c r="E7" s="202">
        <f t="shared" si="3"/>
        <v>-0.21206756422488426</v>
      </c>
      <c r="F7" s="194">
        <v>282.99</v>
      </c>
      <c r="G7" s="202">
        <f t="shared" si="4"/>
        <v>0.19997455794428198</v>
      </c>
      <c r="H7" s="194">
        <v>235.83</v>
      </c>
      <c r="I7" s="203">
        <f t="shared" si="1"/>
        <v>6.4887564345705862E-2</v>
      </c>
      <c r="J7" s="156">
        <v>221.46</v>
      </c>
    </row>
    <row r="8" spans="1:11" ht="30">
      <c r="A8" s="155" t="s">
        <v>7</v>
      </c>
      <c r="B8" s="156">
        <v>-10111.85</v>
      </c>
      <c r="C8" s="202">
        <f t="shared" si="2"/>
        <v>1.3748088910958689E-3</v>
      </c>
      <c r="D8" s="156">
        <v>-10125.771000000001</v>
      </c>
      <c r="E8" s="202">
        <f t="shared" si="3"/>
        <v>-0.14546605323381456</v>
      </c>
      <c r="F8" s="194">
        <v>-8839.8700000000008</v>
      </c>
      <c r="G8" s="202">
        <f t="shared" si="4"/>
        <v>-0.10775174467199933</v>
      </c>
      <c r="H8" s="194">
        <v>-7980.01</v>
      </c>
      <c r="I8" s="203">
        <f t="shared" si="1"/>
        <v>7.41405935470697E-2</v>
      </c>
      <c r="J8" s="156">
        <v>-8619.0300000000007</v>
      </c>
    </row>
    <row r="9" spans="1:11">
      <c r="A9" s="155" t="s">
        <v>137</v>
      </c>
      <c r="B9" s="156">
        <v>-3745.15</v>
      </c>
      <c r="C9" s="202">
        <f t="shared" si="2"/>
        <v>-3.4874566896780035E-2</v>
      </c>
      <c r="D9" s="156">
        <v>-3618.9409999999998</v>
      </c>
      <c r="E9" s="202">
        <f t="shared" si="3"/>
        <v>-7.4772286519540154E-2</v>
      </c>
      <c r="F9" s="194">
        <v>-3367.17</v>
      </c>
      <c r="G9" s="202">
        <f t="shared" si="4"/>
        <v>-4.8665331634957232E-2</v>
      </c>
      <c r="H9" s="194">
        <v>-3210.91</v>
      </c>
      <c r="I9" s="203">
        <f t="shared" si="1"/>
        <v>-1.6673790865194382E-2</v>
      </c>
      <c r="J9" s="156">
        <v>-3158.25</v>
      </c>
    </row>
    <row r="10" spans="1:11">
      <c r="A10" s="155" t="s">
        <v>8</v>
      </c>
      <c r="B10" s="156">
        <v>-1024.01</v>
      </c>
      <c r="C10" s="202">
        <f t="shared" si="2"/>
        <v>-0.19782381868119003</v>
      </c>
      <c r="D10" s="156">
        <v>-854.89200000000005</v>
      </c>
      <c r="E10" s="202">
        <f t="shared" si="3"/>
        <v>-1.4359448973053857E-2</v>
      </c>
      <c r="F10" s="194">
        <v>-842.79</v>
      </c>
      <c r="G10" s="202">
        <f t="shared" si="4"/>
        <v>-5.8980963749450277E-2</v>
      </c>
      <c r="H10" s="194">
        <v>-795.85</v>
      </c>
      <c r="I10" s="203">
        <f t="shared" si="1"/>
        <v>3.7549885113072889E-2</v>
      </c>
      <c r="J10" s="156">
        <v>-826.9</v>
      </c>
    </row>
    <row r="11" spans="1:11" ht="20">
      <c r="A11" s="155" t="s">
        <v>9</v>
      </c>
      <c r="B11" s="156">
        <v>-21.48</v>
      </c>
      <c r="C11" s="202" t="str">
        <f t="shared" si="2"/>
        <v>n.m.</v>
      </c>
      <c r="D11" s="156">
        <v>83.176000000000002</v>
      </c>
      <c r="E11" s="202">
        <f t="shared" si="3"/>
        <v>-0.32917170739575763</v>
      </c>
      <c r="F11" s="194">
        <v>123.99</v>
      </c>
      <c r="G11" s="202">
        <f t="shared" si="4"/>
        <v>0.16773403654172148</v>
      </c>
      <c r="H11" s="194">
        <v>106.18</v>
      </c>
      <c r="I11" s="203">
        <f t="shared" si="1"/>
        <v>0.71562449507190196</v>
      </c>
      <c r="J11" s="156">
        <v>61.89</v>
      </c>
    </row>
    <row r="12" spans="1:11">
      <c r="A12" s="155" t="s">
        <v>10</v>
      </c>
      <c r="B12" s="156">
        <v>82.72</v>
      </c>
      <c r="C12" s="202">
        <f t="shared" si="2"/>
        <v>0.44408365629691704</v>
      </c>
      <c r="D12" s="156">
        <v>57.281999999999996</v>
      </c>
      <c r="E12" s="202">
        <f t="shared" si="3"/>
        <v>2.409642857142857</v>
      </c>
      <c r="F12" s="194">
        <v>16.8</v>
      </c>
      <c r="G12" s="202">
        <f t="shared" si="4"/>
        <v>-0.61757341224675621</v>
      </c>
      <c r="H12" s="194">
        <v>43.93</v>
      </c>
      <c r="I12" s="203">
        <f t="shared" si="1"/>
        <v>0.29663518299881919</v>
      </c>
      <c r="J12" s="156">
        <v>33.880000000000003</v>
      </c>
    </row>
    <row r="13" spans="1:11" s="2" customFormat="1" ht="10.5">
      <c r="A13" s="153" t="s">
        <v>127</v>
      </c>
      <c r="B13" s="219">
        <f>SUM(B4:B12)</f>
        <v>1113.2999999999993</v>
      </c>
      <c r="C13" s="154">
        <f t="shared" si="2"/>
        <v>0.16869251933911378</v>
      </c>
      <c r="D13" s="219">
        <f>SUM(D4:D12)</f>
        <v>952.6030000000012</v>
      </c>
      <c r="E13" s="154">
        <f t="shared" si="3"/>
        <v>0.14141604160176779</v>
      </c>
      <c r="F13" s="297">
        <f>SUM(F4:F12)</f>
        <v>834.57999999999811</v>
      </c>
      <c r="G13" s="154">
        <f t="shared" si="4"/>
        <v>-2.4088495989148528E-2</v>
      </c>
      <c r="H13" s="219">
        <f>SUM(H4:H12)</f>
        <v>855.17999999999813</v>
      </c>
      <c r="I13" s="196">
        <f t="shared" si="1"/>
        <v>4.7886288445044167E-2</v>
      </c>
      <c r="J13" s="219">
        <f>SUM(J4:J12)</f>
        <v>816.09999999999775</v>
      </c>
    </row>
    <row r="14" spans="1:11" ht="20">
      <c r="A14" s="155" t="s">
        <v>11</v>
      </c>
      <c r="B14" s="156">
        <v>-510.72</v>
      </c>
      <c r="C14" s="202">
        <f t="shared" si="2"/>
        <v>-0.29496183980324053</v>
      </c>
      <c r="D14" s="156">
        <v>-394.39</v>
      </c>
      <c r="E14" s="202">
        <f t="shared" si="3"/>
        <v>-2.1153746569312792E-2</v>
      </c>
      <c r="F14" s="194">
        <v>-386.22</v>
      </c>
      <c r="G14" s="202">
        <f t="shared" si="4"/>
        <v>0.10237757687033711</v>
      </c>
      <c r="H14" s="194">
        <v>-430.27</v>
      </c>
      <c r="I14" s="198">
        <f t="shared" si="1"/>
        <v>9.4282827432324412E-2</v>
      </c>
      <c r="J14" s="156">
        <v>-475.06</v>
      </c>
    </row>
    <row r="15" spans="1:11" s="2" customFormat="1" ht="10.5">
      <c r="A15" s="153" t="s">
        <v>116</v>
      </c>
      <c r="B15" s="219">
        <f>B13+B14</f>
        <v>602.57999999999925</v>
      </c>
      <c r="C15" s="154">
        <f t="shared" si="2"/>
        <v>7.948041339058376E-2</v>
      </c>
      <c r="D15" s="219">
        <f>D13+D14</f>
        <v>558.21300000000122</v>
      </c>
      <c r="E15" s="154">
        <f t="shared" si="3"/>
        <v>0.24501070568294137</v>
      </c>
      <c r="F15" s="297">
        <f>F13+F14</f>
        <v>448.35999999999808</v>
      </c>
      <c r="G15" s="154">
        <f t="shared" si="4"/>
        <v>5.5188157492174872E-2</v>
      </c>
      <c r="H15" s="219">
        <f t="shared" ref="H15" si="5">H13+H14</f>
        <v>424.90999999999815</v>
      </c>
      <c r="I15" s="196">
        <f t="shared" si="1"/>
        <v>0.245924231761673</v>
      </c>
      <c r="J15" s="219">
        <f>J13+J14</f>
        <v>341.03999999999775</v>
      </c>
    </row>
    <row r="16" spans="1:11">
      <c r="A16" s="155" t="s">
        <v>12</v>
      </c>
      <c r="B16" s="156">
        <f>30.97-56.31</f>
        <v>-25.340000000000003</v>
      </c>
      <c r="C16" s="202">
        <f t="shared" si="2"/>
        <v>7.6261300670749321E-2</v>
      </c>
      <c r="D16" s="156">
        <v>-27.431999999999999</v>
      </c>
      <c r="E16" s="202">
        <f t="shared" si="3"/>
        <v>-1.0386740331491673E-2</v>
      </c>
      <c r="F16" s="194">
        <v>-27.15</v>
      </c>
      <c r="G16" s="202">
        <f t="shared" si="4"/>
        <v>-6.1825396825396801</v>
      </c>
      <c r="H16" s="190">
        <f>73.9-77.68</f>
        <v>-3.7800000000000011</v>
      </c>
      <c r="I16" s="198">
        <f t="shared" si="1"/>
        <v>0.84520884520884521</v>
      </c>
      <c r="J16" s="190">
        <f>82.07-106.49</f>
        <v>-24.42</v>
      </c>
    </row>
    <row r="17" spans="1:10" s="2" customFormat="1" ht="10.5">
      <c r="A17" s="153" t="s">
        <v>13</v>
      </c>
      <c r="B17" s="219">
        <f>B16</f>
        <v>-25.340000000000003</v>
      </c>
      <c r="C17" s="154">
        <f t="shared" si="2"/>
        <v>7.6261300670749321E-2</v>
      </c>
      <c r="D17" s="219">
        <f>D16</f>
        <v>-27.431999999999999</v>
      </c>
      <c r="E17" s="154">
        <f t="shared" si="3"/>
        <v>-1.0386740331491673E-2</v>
      </c>
      <c r="F17" s="297">
        <f>F16</f>
        <v>-27.15</v>
      </c>
      <c r="G17" s="154">
        <f t="shared" si="4"/>
        <v>-6.1825396825396801</v>
      </c>
      <c r="H17" s="219">
        <f t="shared" ref="H17" si="6">H16</f>
        <v>-3.7800000000000011</v>
      </c>
      <c r="I17" s="196">
        <f t="shared" si="1"/>
        <v>0.84520884520884521</v>
      </c>
      <c r="J17" s="219">
        <f>J16</f>
        <v>-24.42</v>
      </c>
    </row>
    <row r="18" spans="1:10" s="2" customFormat="1" ht="10.5">
      <c r="A18" s="153" t="s">
        <v>126</v>
      </c>
      <c r="B18" s="219">
        <f>B15+B17</f>
        <v>577.23999999999921</v>
      </c>
      <c r="C18" s="154">
        <f t="shared" si="2"/>
        <v>8.7529508403650258E-2</v>
      </c>
      <c r="D18" s="219">
        <f>D15+D17</f>
        <v>530.7810000000012</v>
      </c>
      <c r="E18" s="154">
        <f t="shared" si="3"/>
        <v>0.26013389995490033</v>
      </c>
      <c r="F18" s="297">
        <f>F15+F17</f>
        <v>421.2099999999981</v>
      </c>
      <c r="G18" s="154">
        <f t="shared" si="4"/>
        <v>1.8996509391389083E-4</v>
      </c>
      <c r="H18" s="219">
        <f t="shared" ref="H18" si="7">H15+H17</f>
        <v>421.12999999999818</v>
      </c>
      <c r="I18" s="196">
        <f t="shared" si="1"/>
        <v>0.33008022234856038</v>
      </c>
      <c r="J18" s="219">
        <f>J15+J17</f>
        <v>316.61999999999773</v>
      </c>
    </row>
    <row r="19" spans="1:10">
      <c r="A19" s="155" t="s">
        <v>14</v>
      </c>
      <c r="B19" s="190">
        <v>-198.68</v>
      </c>
      <c r="C19" s="202">
        <f t="shared" si="2"/>
        <v>-0.18262608706004202</v>
      </c>
      <c r="D19" s="190">
        <v>-167.999</v>
      </c>
      <c r="E19" s="202">
        <f t="shared" si="3"/>
        <v>-0.3038339154055103</v>
      </c>
      <c r="F19" s="192">
        <v>-128.85</v>
      </c>
      <c r="G19" s="202">
        <f t="shared" si="4"/>
        <v>7.3887730899159121E-2</v>
      </c>
      <c r="H19" s="192">
        <v>-139.13</v>
      </c>
      <c r="I19" s="198">
        <f t="shared" si="1"/>
        <v>-3.7277268321777468E-2</v>
      </c>
      <c r="J19" s="190">
        <v>-134.13</v>
      </c>
    </row>
    <row r="20" spans="1:10" s="2" customFormat="1" ht="10.5">
      <c r="A20" s="153" t="s">
        <v>15</v>
      </c>
      <c r="B20" s="219">
        <f>B18+B19</f>
        <v>378.55999999999921</v>
      </c>
      <c r="C20" s="154">
        <f t="shared" si="2"/>
        <v>4.3491683710873197E-2</v>
      </c>
      <c r="D20" s="219">
        <f>D18+D19</f>
        <v>362.78200000000118</v>
      </c>
      <c r="E20" s="154">
        <f t="shared" si="3"/>
        <v>0.24087426460529326</v>
      </c>
      <c r="F20" s="297">
        <f>F18+F19</f>
        <v>292.35999999999808</v>
      </c>
      <c r="G20" s="154">
        <f t="shared" si="4"/>
        <v>3.6737588652482112E-2</v>
      </c>
      <c r="H20" s="219">
        <f t="shared" ref="H20" si="8">H18+H19</f>
        <v>281.99999999999818</v>
      </c>
      <c r="I20" s="196">
        <f t="shared" si="1"/>
        <v>0.54529015288509886</v>
      </c>
      <c r="J20" s="219">
        <f>J18+J19</f>
        <v>182.48999999999774</v>
      </c>
    </row>
    <row r="21" spans="1:10" ht="20">
      <c r="A21" s="155" t="s">
        <v>16</v>
      </c>
      <c r="B21" s="156">
        <v>6.86</v>
      </c>
      <c r="C21" s="202">
        <f t="shared" si="2"/>
        <v>-0.2582981943993945</v>
      </c>
      <c r="D21" s="156">
        <v>9.2490000000000006</v>
      </c>
      <c r="E21" s="202">
        <f t="shared" si="3"/>
        <v>-0.31234200743494411</v>
      </c>
      <c r="F21" s="194">
        <v>13.45</v>
      </c>
      <c r="G21" s="202">
        <f t="shared" si="4"/>
        <v>2.0919540229885056</v>
      </c>
      <c r="H21" s="194">
        <v>4.3499999999999996</v>
      </c>
      <c r="I21" s="198">
        <f t="shared" si="1"/>
        <v>-0.83396946564885499</v>
      </c>
      <c r="J21" s="156">
        <v>26.2</v>
      </c>
    </row>
    <row r="22" spans="1:10" s="2" customFormat="1" ht="10.5">
      <c r="A22" s="153" t="s">
        <v>17</v>
      </c>
      <c r="B22" s="219">
        <f>B20-B21</f>
        <v>371.69999999999919</v>
      </c>
      <c r="C22" s="154">
        <f t="shared" si="2"/>
        <v>5.1386999233446362E-2</v>
      </c>
      <c r="D22" s="219">
        <f>D20-D21</f>
        <v>353.53300000000115</v>
      </c>
      <c r="E22" s="154">
        <f t="shared" si="3"/>
        <v>0.26755225700047891</v>
      </c>
      <c r="F22" s="219">
        <f>F20-F21</f>
        <v>278.90999999999809</v>
      </c>
      <c r="G22" s="154">
        <f t="shared" si="4"/>
        <v>4.538087520259193E-3</v>
      </c>
      <c r="H22" s="219">
        <f t="shared" ref="H22" si="9">H20-H21</f>
        <v>277.64999999999816</v>
      </c>
      <c r="I22" s="196">
        <f t="shared" si="1"/>
        <v>0.77650521466505951</v>
      </c>
      <c r="J22" s="219">
        <f>J20-J21</f>
        <v>156.28999999999775</v>
      </c>
    </row>
    <row r="23" spans="1:10" ht="10.5">
      <c r="A23" s="153"/>
      <c r="B23" s="157"/>
      <c r="C23" s="202"/>
      <c r="D23" s="157"/>
      <c r="E23" s="202"/>
      <c r="F23" s="157"/>
      <c r="G23" s="154"/>
      <c r="H23" s="157"/>
      <c r="I23" s="196"/>
      <c r="J23" s="157"/>
    </row>
    <row r="24" spans="1:10" s="2" customFormat="1" ht="10.5">
      <c r="A24" s="153" t="s">
        <v>127</v>
      </c>
      <c r="B24" s="219">
        <f>B13</f>
        <v>1113.2999999999993</v>
      </c>
      <c r="C24" s="154">
        <f t="shared" ref="C24" si="10">IF((+B24/D24)&lt;0,"n.m.",IF(B24&lt;0,(+B24/D24-1)*-1,(+B24/D24-1)))</f>
        <v>0.16869251933911378</v>
      </c>
      <c r="D24" s="219">
        <f>D13</f>
        <v>952.6030000000012</v>
      </c>
      <c r="E24" s="154">
        <f t="shared" si="3"/>
        <v>0.14141604160176779</v>
      </c>
      <c r="F24" s="219">
        <f>F13</f>
        <v>834.57999999999811</v>
      </c>
      <c r="G24" s="154">
        <f t="shared" si="4"/>
        <v>-2.4088495989148528E-2</v>
      </c>
      <c r="H24" s="219">
        <f t="shared" ref="H24" si="11">H13</f>
        <v>855.17999999999813</v>
      </c>
      <c r="I24" s="196">
        <f>IF((+H24/J24)&lt;0,"n.m.",IF(H24&lt;0,(+H24/J24-1)*-1,(+H24/J24-1)))</f>
        <v>4.7886288445044167E-2</v>
      </c>
      <c r="J24" s="219">
        <f>J13</f>
        <v>816.09999999999775</v>
      </c>
    </row>
    <row r="25" spans="1:10" s="11" customFormat="1" ht="10.5">
      <c r="A25" s="158" t="s">
        <v>18</v>
      </c>
      <c r="B25" s="193">
        <f>B24/B4</f>
        <v>7.1053069935546082E-2</v>
      </c>
      <c r="C25" s="202"/>
      <c r="D25" s="193">
        <f>D24/D4</f>
        <v>6.2581363399622406E-2</v>
      </c>
      <c r="E25" s="202"/>
      <c r="F25" s="193">
        <f>F24/F4</f>
        <v>6.1780834897754794E-2</v>
      </c>
      <c r="G25" s="154"/>
      <c r="H25" s="193">
        <f>H24/H4</f>
        <v>6.8963570706247854E-2</v>
      </c>
      <c r="I25" s="196"/>
      <c r="J25" s="193">
        <f>J24/J4</f>
        <v>6.2186249378975531E-2</v>
      </c>
    </row>
    <row r="26" spans="1:10" s="2" customFormat="1" ht="10.5">
      <c r="A26" s="153" t="s">
        <v>116</v>
      </c>
      <c r="B26" s="219">
        <f>B15</f>
        <v>602.57999999999925</v>
      </c>
      <c r="C26" s="154">
        <f t="shared" ref="C26:C28" si="12">IF((+B26/D26)&lt;0,"n.m.",IF(B26&lt;0,(+B26/D26-1)*-1,(+B26/D26-1)))</f>
        <v>7.948041339058376E-2</v>
      </c>
      <c r="D26" s="219">
        <f>D15</f>
        <v>558.21300000000122</v>
      </c>
      <c r="E26" s="154">
        <f t="shared" si="3"/>
        <v>0.24501070568294137</v>
      </c>
      <c r="F26" s="219">
        <f>F15</f>
        <v>448.35999999999808</v>
      </c>
      <c r="G26" s="154">
        <f t="shared" si="4"/>
        <v>5.5188157492174872E-2</v>
      </c>
      <c r="H26" s="219">
        <f t="shared" ref="H26" si="13">H15</f>
        <v>424.90999999999815</v>
      </c>
      <c r="I26" s="196">
        <f>IF((+H26/J26)&lt;0,"n.m.",IF(H26&lt;0,(+H26/J26-1)*-1,(+H26/J26-1)))</f>
        <v>0.245924231761673</v>
      </c>
      <c r="J26" s="219">
        <f>J15</f>
        <v>341.03999999999775</v>
      </c>
    </row>
    <row r="27" spans="1:10" s="2" customFormat="1" ht="10.5">
      <c r="A27" s="158" t="s">
        <v>18</v>
      </c>
      <c r="B27" s="193">
        <f>B26/B4</f>
        <v>3.8457880968078083E-2</v>
      </c>
      <c r="C27" s="202"/>
      <c r="D27" s="193">
        <f>D26/D4</f>
        <v>3.6671867091950638E-2</v>
      </c>
      <c r="E27" s="202"/>
      <c r="F27" s="193">
        <f>F26/F4</f>
        <v>3.3190413303406843E-2</v>
      </c>
      <c r="G27" s="154"/>
      <c r="H27" s="193">
        <f>H26/H4</f>
        <v>3.426566433825827E-2</v>
      </c>
      <c r="I27" s="196"/>
      <c r="J27" s="193">
        <f>J26/J4</f>
        <v>2.5987009543200261E-2</v>
      </c>
    </row>
    <row r="28" spans="1:10" s="2" customFormat="1" ht="10.5">
      <c r="A28" s="153" t="s">
        <v>19</v>
      </c>
      <c r="B28" s="159">
        <f>B22/B31*1000000</f>
        <v>3.6228070175438516</v>
      </c>
      <c r="C28" s="154">
        <f t="shared" si="12"/>
        <v>5.1386999233446362E-2</v>
      </c>
      <c r="D28" s="159">
        <f>D22/D31*1000000</f>
        <v>3.4457407407407517</v>
      </c>
      <c r="E28" s="154">
        <f t="shared" si="3"/>
        <v>0.26755225700047891</v>
      </c>
      <c r="F28" s="159">
        <f>F22/F31*1000000</f>
        <v>2.7184210526315602</v>
      </c>
      <c r="G28" s="154">
        <f t="shared" si="4"/>
        <v>4.538087520259193E-3</v>
      </c>
      <c r="H28" s="219">
        <f t="shared" ref="H28" si="14">H22/H31*1000000</f>
        <v>2.7061403508771749</v>
      </c>
      <c r="I28" s="196">
        <f>IF((+H28/J28)&lt;0,"n.m.",IF(H28&lt;0,(+H28/J28-1)*-1,(+H28/J28-1)))</f>
        <v>0.77650521466505928</v>
      </c>
      <c r="J28" s="219">
        <f>J22/J31*1000000</f>
        <v>1.5232943469785356</v>
      </c>
    </row>
    <row r="29" spans="1:10" s="11" customFormat="1" ht="20">
      <c r="A29" s="158" t="s">
        <v>20</v>
      </c>
      <c r="B29" s="193">
        <f>B22/B4</f>
        <v>2.3722649865303546E-2</v>
      </c>
      <c r="C29" s="202"/>
      <c r="D29" s="193">
        <f>D22/D4</f>
        <v>2.3225391004184064E-2</v>
      </c>
      <c r="E29" s="202"/>
      <c r="F29" s="193">
        <f>F22/F4</f>
        <v>2.0646663784577524E-2</v>
      </c>
      <c r="G29" s="202"/>
      <c r="H29" s="193">
        <f>H22/H4</f>
        <v>2.2390298424413139E-2</v>
      </c>
      <c r="I29" s="198"/>
      <c r="J29" s="193">
        <f>J22/J4</f>
        <v>1.1909188721284122E-2</v>
      </c>
    </row>
    <row r="30" spans="1:10" s="2" customFormat="1" ht="10.5">
      <c r="A30" s="153"/>
      <c r="B30" s="156"/>
      <c r="C30" s="202"/>
      <c r="D30" s="156"/>
      <c r="E30" s="202"/>
      <c r="F30" s="194"/>
      <c r="G30" s="202"/>
      <c r="H30" s="314"/>
      <c r="I30" s="196"/>
      <c r="J30" s="314"/>
    </row>
    <row r="31" spans="1:10" ht="20">
      <c r="A31" s="155" t="s">
        <v>21</v>
      </c>
      <c r="B31" s="315">
        <v>102600000</v>
      </c>
      <c r="C31" s="202">
        <f t="shared" ref="C31" si="15">IF((+B31/D31)&lt;0,"n.m.",IF(B31&lt;0,(+B31/D31-1)*-1,(+B31/D31-1)))</f>
        <v>0</v>
      </c>
      <c r="D31" s="315">
        <v>102600000</v>
      </c>
      <c r="E31" s="202">
        <f t="shared" si="3"/>
        <v>0</v>
      </c>
      <c r="F31" s="315">
        <v>102600000</v>
      </c>
      <c r="G31" s="202">
        <f t="shared" ref="G31" si="16">IF((+F31/H31)&lt;0,"n.m.",IF(F31&lt;0,(+F31/H31-1)*-1,(+F31/H31-1)))</f>
        <v>0</v>
      </c>
      <c r="H31" s="315">
        <v>102600000</v>
      </c>
      <c r="I31" s="198">
        <f>IF((+H31/J31)&lt;0,"n.m.",IF(H31&lt;0,(+H31/J31-1)*-1,(+H31/J31-1)))</f>
        <v>0</v>
      </c>
      <c r="J31" s="315">
        <v>102600000</v>
      </c>
    </row>
    <row r="32" spans="1:10" s="2" customFormat="1" ht="10.5">
      <c r="A32" s="153"/>
      <c r="B32" s="316"/>
      <c r="C32" s="202"/>
      <c r="D32" s="316"/>
      <c r="E32" s="202"/>
      <c r="F32" s="316"/>
      <c r="G32" s="157"/>
      <c r="H32" s="316"/>
      <c r="I32" s="196"/>
      <c r="J32" s="316"/>
    </row>
    <row r="33" spans="1:10">
      <c r="A33" s="155" t="s">
        <v>22</v>
      </c>
      <c r="B33" s="195">
        <v>0.9</v>
      </c>
      <c r="C33" s="202">
        <f t="shared" ref="C33:C34" si="17">IF((+B33/D33)&lt;0,"n.m.",IF(B33&lt;0,(+B33/D33-1)*-1,(+B33/D33-1)))</f>
        <v>-0.30769230769230771</v>
      </c>
      <c r="D33" s="160">
        <v>1.3</v>
      </c>
      <c r="E33" s="202">
        <f t="shared" si="3"/>
        <v>0</v>
      </c>
      <c r="F33" s="313">
        <v>1.3</v>
      </c>
      <c r="G33" s="198">
        <f>IF((+F33/H33)&lt;0,"n.m.",IF(F33&lt;0,(+F33/H33-1)*-1,(+F33/H33-1)))</f>
        <v>0.36842105263157898</v>
      </c>
      <c r="H33" s="195">
        <v>0.95</v>
      </c>
      <c r="I33" s="198">
        <f>IF((+H33/J33)&lt;0,"n.m.",IF(H33&lt;0,(+H33/J33-1)*-1,(+H33/J33-1)))</f>
        <v>0.46153846153846145</v>
      </c>
      <c r="J33" s="160">
        <v>0.65</v>
      </c>
    </row>
    <row r="34" spans="1:10">
      <c r="A34" s="155" t="s">
        <v>23</v>
      </c>
      <c r="B34" s="342">
        <f>B33/B28</f>
        <v>0.24842615012106595</v>
      </c>
      <c r="C34" s="202">
        <f t="shared" si="17"/>
        <v>-0.3415291488172808</v>
      </c>
      <c r="D34" s="342">
        <f>D33/D28</f>
        <v>0.37727736873219636</v>
      </c>
      <c r="E34" s="202">
        <f t="shared" si="3"/>
        <v>-0.21107789088996731</v>
      </c>
      <c r="F34" s="342">
        <f t="shared" ref="F34:H34" si="18">F33/F28</f>
        <v>0.4782187802516974</v>
      </c>
      <c r="G34" s="198">
        <f>IF((+F34/H34)&lt;0,"n.m.",IF(F34&lt;0,(+F34/H34-1)*-1,(+F34/H34-1)))</f>
        <v>0.36223909240671892</v>
      </c>
      <c r="H34" s="191">
        <f t="shared" si="18"/>
        <v>0.35105348460291969</v>
      </c>
      <c r="I34" s="198">
        <f>IF((+H34/J34)&lt;0,"n.m.",IF(H34&lt;0,(+H34/J34-1)*-1,(+H34/J34-1)))</f>
        <v>-0.1772957098727016</v>
      </c>
      <c r="J34" s="191">
        <f>J33/J28</f>
        <v>0.42670676306866057</v>
      </c>
    </row>
    <row r="35" spans="1:10">
      <c r="A35" s="155" t="s">
        <v>24</v>
      </c>
      <c r="B35" s="426">
        <v>7.4999999999999997E-2</v>
      </c>
      <c r="C35" s="427"/>
      <c r="D35" s="426">
        <v>7.5999999999999998E-2</v>
      </c>
      <c r="E35" s="427"/>
      <c r="F35" s="428">
        <v>6.7000000000000004E-2</v>
      </c>
      <c r="G35" s="296"/>
      <c r="H35" s="317">
        <v>6.4000000000000001E-2</v>
      </c>
      <c r="I35" s="318"/>
      <c r="J35" s="318">
        <v>4.1000000000000002E-2</v>
      </c>
    </row>
    <row r="36" spans="1:10">
      <c r="A36" s="155"/>
      <c r="B36" s="429"/>
      <c r="C36" s="429"/>
      <c r="D36" s="429"/>
      <c r="E36" s="429"/>
      <c r="F36" s="429"/>
      <c r="G36" s="319"/>
      <c r="H36" s="319"/>
      <c r="I36" s="319"/>
      <c r="J36" s="319"/>
    </row>
    <row r="37" spans="1:10" ht="32.15" customHeight="1">
      <c r="A37" s="163"/>
      <c r="B37" s="395"/>
      <c r="C37" s="413" t="s">
        <v>155</v>
      </c>
      <c r="D37" s="410"/>
      <c r="E37" s="384" t="s">
        <v>152</v>
      </c>
      <c r="F37" s="164"/>
      <c r="G37" s="299" t="s">
        <v>134</v>
      </c>
      <c r="H37" s="164"/>
      <c r="I37" s="286" t="s">
        <v>131</v>
      </c>
      <c r="J37" s="397"/>
    </row>
    <row r="38" spans="1:10" s="2" customFormat="1" ht="10.5">
      <c r="A38" s="165" t="s">
        <v>25</v>
      </c>
      <c r="B38" s="396">
        <f>SUM(B39:B48)</f>
        <v>5249.8499999999995</v>
      </c>
      <c r="C38" s="300">
        <f>B38/$B$74</f>
        <v>0.42853084816432546</v>
      </c>
      <c r="D38" s="411">
        <f>SUM(D39:D48)</f>
        <v>4775.92</v>
      </c>
      <c r="E38" s="300">
        <f t="shared" ref="E38:E74" si="19">D38/$D$74</f>
        <v>0.41287007428500788</v>
      </c>
      <c r="F38" s="199">
        <f>SUM(F39:F48)</f>
        <v>4095.7399999999993</v>
      </c>
      <c r="G38" s="300">
        <f t="shared" ref="G38:G74" si="20">F38/$F$74</f>
        <v>0.37051705608406638</v>
      </c>
      <c r="H38" s="199">
        <f t="shared" ref="H38" si="21">SUM(H39:H48)</f>
        <v>4129.93</v>
      </c>
      <c r="I38" s="166">
        <f>H38/$H$74</f>
        <v>0.39793475108422199</v>
      </c>
      <c r="J38" s="398">
        <f>SUM(J39:J48)</f>
        <v>4284.0700000000006</v>
      </c>
    </row>
    <row r="39" spans="1:10">
      <c r="A39" s="155" t="s">
        <v>26</v>
      </c>
      <c r="B39" s="414">
        <v>490.85</v>
      </c>
      <c r="C39" s="301">
        <f t="shared" ref="C39:C74" si="22">B39/$B$74</f>
        <v>4.0066738444233488E-2</v>
      </c>
      <c r="D39" s="381">
        <v>493.41</v>
      </c>
      <c r="E39" s="301">
        <f t="shared" si="19"/>
        <v>4.26544463376618E-2</v>
      </c>
      <c r="F39" s="361">
        <v>498.83</v>
      </c>
      <c r="G39" s="301">
        <f t="shared" si="20"/>
        <v>4.5126161105542552E-2</v>
      </c>
      <c r="H39" s="201">
        <v>496.4</v>
      </c>
      <c r="I39" s="167">
        <f t="shared" ref="I39:I74" si="23">H39/$H$74</f>
        <v>4.7830062601111341E-2</v>
      </c>
      <c r="J39" s="399">
        <v>510.8</v>
      </c>
    </row>
    <row r="40" spans="1:10" s="380" customFormat="1" ht="20">
      <c r="A40" s="376" t="s">
        <v>149</v>
      </c>
      <c r="B40" s="414">
        <v>530.36</v>
      </c>
      <c r="C40" s="301">
        <f t="shared" si="22"/>
        <v>4.3291831315643618E-2</v>
      </c>
      <c r="D40" s="381">
        <v>547.24</v>
      </c>
      <c r="E40" s="377">
        <f t="shared" si="19"/>
        <v>4.7307957304922967E-2</v>
      </c>
      <c r="F40" s="361">
        <v>0</v>
      </c>
      <c r="G40" s="377">
        <f t="shared" si="20"/>
        <v>0</v>
      </c>
      <c r="H40" s="361">
        <v>0</v>
      </c>
      <c r="I40" s="378">
        <f t="shared" si="23"/>
        <v>0</v>
      </c>
      <c r="J40" s="400">
        <v>0</v>
      </c>
    </row>
    <row r="41" spans="1:10">
      <c r="A41" s="155" t="s">
        <v>27</v>
      </c>
      <c r="B41" s="414">
        <v>2632.49</v>
      </c>
      <c r="C41" s="301">
        <f t="shared" si="22"/>
        <v>0.21488293427128491</v>
      </c>
      <c r="D41" s="381">
        <v>2144.0100000000002</v>
      </c>
      <c r="E41" s="301">
        <f t="shared" si="19"/>
        <v>0.18534597898788083</v>
      </c>
      <c r="F41" s="361">
        <f>1936.03+6.24</f>
        <v>1942.27</v>
      </c>
      <c r="G41" s="301">
        <f t="shared" si="20"/>
        <v>0.1757055287983123</v>
      </c>
      <c r="H41" s="201">
        <v>1927.74</v>
      </c>
      <c r="I41" s="167">
        <f t="shared" si="23"/>
        <v>0.18574521530754712</v>
      </c>
      <c r="J41" s="399">
        <v>1881.52</v>
      </c>
    </row>
    <row r="42" spans="1:10">
      <c r="A42" s="155" t="s">
        <v>28</v>
      </c>
      <c r="B42" s="414">
        <v>0</v>
      </c>
      <c r="C42" s="301">
        <f t="shared" si="22"/>
        <v>0</v>
      </c>
      <c r="D42" s="381">
        <v>0</v>
      </c>
      <c r="E42" s="301"/>
      <c r="F42" s="361">
        <v>0</v>
      </c>
      <c r="G42" s="301"/>
      <c r="H42" s="201">
        <v>7.92</v>
      </c>
      <c r="I42" s="167">
        <f t="shared" si="23"/>
        <v>7.631226748606E-4</v>
      </c>
      <c r="J42" s="399">
        <v>13.82</v>
      </c>
    </row>
    <row r="43" spans="1:10">
      <c r="A43" s="155" t="s">
        <v>139</v>
      </c>
      <c r="B43" s="414">
        <v>454.53</v>
      </c>
      <c r="C43" s="301">
        <f t="shared" si="22"/>
        <v>3.7102036518401639E-2</v>
      </c>
      <c r="D43" s="381">
        <v>378.62</v>
      </c>
      <c r="E43" s="301">
        <f t="shared" si="19"/>
        <v>3.2731048159472871E-2</v>
      </c>
      <c r="F43" s="361">
        <v>350.01</v>
      </c>
      <c r="G43" s="301">
        <f t="shared" si="20"/>
        <v>3.1663307436503314E-2</v>
      </c>
      <c r="H43" s="201">
        <v>347.61</v>
      </c>
      <c r="I43" s="167">
        <f t="shared" si="23"/>
        <v>3.3493569824279444E-2</v>
      </c>
      <c r="J43" s="399">
        <v>373.42</v>
      </c>
    </row>
    <row r="44" spans="1:10">
      <c r="A44" s="155" t="s">
        <v>138</v>
      </c>
      <c r="B44" s="414">
        <v>175.06</v>
      </c>
      <c r="C44" s="301">
        <f t="shared" si="22"/>
        <v>1.4289667377095883E-2</v>
      </c>
      <c r="D44" s="381">
        <v>185.3</v>
      </c>
      <c r="E44" s="301">
        <f t="shared" si="19"/>
        <v>1.601886647284962E-2</v>
      </c>
      <c r="F44" s="361">
        <v>182.7</v>
      </c>
      <c r="G44" s="301">
        <f t="shared" si="20"/>
        <v>1.6527774259733022E-2</v>
      </c>
      <c r="H44" s="201">
        <v>166.73</v>
      </c>
      <c r="I44" s="167">
        <f t="shared" si="23"/>
        <v>1.6065081260038867E-2</v>
      </c>
      <c r="J44" s="399">
        <v>201.9</v>
      </c>
    </row>
    <row r="45" spans="1:10" ht="20">
      <c r="A45" s="155" t="s">
        <v>140</v>
      </c>
      <c r="B45" s="414">
        <v>599.04</v>
      </c>
      <c r="C45" s="301">
        <f t="shared" si="22"/>
        <v>4.8897991234865289E-2</v>
      </c>
      <c r="D45" s="381">
        <v>630.26</v>
      </c>
      <c r="E45" s="301">
        <f t="shared" si="19"/>
        <v>5.4484893595133303E-2</v>
      </c>
      <c r="F45" s="361">
        <v>662.31</v>
      </c>
      <c r="G45" s="301">
        <f t="shared" si="20"/>
        <v>5.9915217131711974E-2</v>
      </c>
      <c r="H45" s="201">
        <v>683.49</v>
      </c>
      <c r="I45" s="167">
        <f t="shared" si="23"/>
        <v>6.5856908717231252E-2</v>
      </c>
      <c r="J45" s="399">
        <v>710.25</v>
      </c>
    </row>
    <row r="46" spans="1:10">
      <c r="A46" s="155" t="s">
        <v>31</v>
      </c>
      <c r="B46" s="415">
        <v>0</v>
      </c>
      <c r="C46" s="301">
        <f t="shared" si="22"/>
        <v>0</v>
      </c>
      <c r="D46" s="352">
        <v>0</v>
      </c>
      <c r="E46" s="301">
        <f t="shared" si="19"/>
        <v>0</v>
      </c>
      <c r="F46" s="379">
        <v>0</v>
      </c>
      <c r="G46" s="301">
        <f t="shared" si="20"/>
        <v>0</v>
      </c>
      <c r="H46" s="201">
        <v>0</v>
      </c>
      <c r="I46" s="167">
        <f t="shared" si="23"/>
        <v>0</v>
      </c>
      <c r="J46" s="399">
        <v>75.09</v>
      </c>
    </row>
    <row r="47" spans="1:10">
      <c r="A47" s="155" t="s">
        <v>29</v>
      </c>
      <c r="B47" s="414">
        <v>229.9</v>
      </c>
      <c r="C47" s="301">
        <f t="shared" si="22"/>
        <v>1.8766106077883832E-2</v>
      </c>
      <c r="D47" s="381">
        <f>250.14</f>
        <v>250.14</v>
      </c>
      <c r="E47" s="301">
        <f t="shared" si="19"/>
        <v>2.1624173014131699E-2</v>
      </c>
      <c r="F47" s="361">
        <v>270.64999999999998</v>
      </c>
      <c r="G47" s="301">
        <f t="shared" si="20"/>
        <v>2.4484083762434279E-2</v>
      </c>
      <c r="H47" s="201">
        <v>254.22</v>
      </c>
      <c r="I47" s="167">
        <f t="shared" si="23"/>
        <v>2.44950816165482E-2</v>
      </c>
      <c r="J47" s="399">
        <v>225.34</v>
      </c>
    </row>
    <row r="48" spans="1:10">
      <c r="A48" s="155" t="s">
        <v>33</v>
      </c>
      <c r="B48" s="414">
        <v>137.62</v>
      </c>
      <c r="C48" s="301">
        <f t="shared" si="22"/>
        <v>1.1233542924916802E-2</v>
      </c>
      <c r="D48" s="381">
        <v>146.94</v>
      </c>
      <c r="E48" s="301">
        <f t="shared" si="19"/>
        <v>1.2702710412954793E-2</v>
      </c>
      <c r="F48" s="361">
        <v>188.97</v>
      </c>
      <c r="G48" s="301">
        <f t="shared" si="20"/>
        <v>1.7094983589828951E-2</v>
      </c>
      <c r="H48" s="201">
        <v>245.82</v>
      </c>
      <c r="I48" s="167">
        <f t="shared" si="23"/>
        <v>2.3685709082605137E-2</v>
      </c>
      <c r="J48" s="399">
        <v>291.93</v>
      </c>
    </row>
    <row r="49" spans="1:10" s="2" customFormat="1" ht="10.5">
      <c r="A49" s="153" t="s">
        <v>34</v>
      </c>
      <c r="B49" s="396">
        <f>SUM(B50:B56)</f>
        <v>7000.9599999999991</v>
      </c>
      <c r="C49" s="300">
        <f t="shared" si="22"/>
        <v>0.57146915183567448</v>
      </c>
      <c r="D49" s="412">
        <f>SUM(D50:D56)</f>
        <v>6791.6869999999999</v>
      </c>
      <c r="E49" s="300">
        <f t="shared" si="19"/>
        <v>0.58712966637014907</v>
      </c>
      <c r="F49" s="298">
        <f>SUM(F50:F56)</f>
        <v>6958.38</v>
      </c>
      <c r="G49" s="300">
        <f t="shared" si="20"/>
        <v>0.62948294391593362</v>
      </c>
      <c r="H49" s="199">
        <f t="shared" ref="H49" si="24">SUM(H50:H56)</f>
        <v>6248.4800000000005</v>
      </c>
      <c r="I49" s="166">
        <f t="shared" si="23"/>
        <v>0.60206524891577806</v>
      </c>
      <c r="J49" s="398">
        <f>SUM(J50:J56)</f>
        <v>6444.8</v>
      </c>
    </row>
    <row r="50" spans="1:10">
      <c r="A50" s="155" t="s">
        <v>35</v>
      </c>
      <c r="B50" s="414">
        <v>983.55</v>
      </c>
      <c r="C50" s="301">
        <f t="shared" si="22"/>
        <v>8.0284487311451241E-2</v>
      </c>
      <c r="D50" s="381">
        <v>890.16</v>
      </c>
      <c r="E50" s="301">
        <f t="shared" si="19"/>
        <v>7.6952801832011961E-2</v>
      </c>
      <c r="F50" s="361">
        <v>1137.8</v>
      </c>
      <c r="G50" s="301">
        <f t="shared" si="20"/>
        <v>0.10292994829077304</v>
      </c>
      <c r="H50" s="201">
        <v>1182.81</v>
      </c>
      <c r="I50" s="167">
        <f t="shared" si="23"/>
        <v>0.11396832462776089</v>
      </c>
      <c r="J50" s="399">
        <v>801.7</v>
      </c>
    </row>
    <row r="51" spans="1:10">
      <c r="A51" s="155" t="s">
        <v>30</v>
      </c>
      <c r="B51" s="414">
        <v>39.32</v>
      </c>
      <c r="C51" s="301">
        <f t="shared" si="22"/>
        <v>3.2095836928333721E-3</v>
      </c>
      <c r="D51" s="381">
        <v>36.270000000000003</v>
      </c>
      <c r="E51" s="301">
        <f t="shared" si="19"/>
        <v>3.1354791525647911E-3</v>
      </c>
      <c r="F51" s="361">
        <v>33.72</v>
      </c>
      <c r="G51" s="301">
        <f t="shared" si="20"/>
        <v>3.0504463494154216E-3</v>
      </c>
      <c r="H51" s="201">
        <v>31.18</v>
      </c>
      <c r="I51" s="167">
        <f t="shared" si="23"/>
        <v>3.0043137628981702E-3</v>
      </c>
      <c r="J51" s="399">
        <v>28.83</v>
      </c>
    </row>
    <row r="52" spans="1:10" s="385" customFormat="1">
      <c r="A52" s="376" t="s">
        <v>153</v>
      </c>
      <c r="B52" s="414">
        <v>1354.9</v>
      </c>
      <c r="C52" s="301">
        <f t="shared" si="22"/>
        <v>0.11059676870345717</v>
      </c>
      <c r="D52" s="381">
        <v>1282.9100000000001</v>
      </c>
      <c r="E52" s="301">
        <f t="shared" si="19"/>
        <v>0.11090536420228553</v>
      </c>
      <c r="F52" s="361">
        <v>0</v>
      </c>
      <c r="G52" s="301">
        <f t="shared" si="20"/>
        <v>0</v>
      </c>
      <c r="H52" s="361">
        <v>0</v>
      </c>
      <c r="I52" s="167">
        <f t="shared" si="23"/>
        <v>0</v>
      </c>
      <c r="J52" s="399">
        <v>0</v>
      </c>
    </row>
    <row r="53" spans="1:10">
      <c r="A53" s="155" t="s">
        <v>31</v>
      </c>
      <c r="B53" s="414">
        <v>1700.73</v>
      </c>
      <c r="C53" s="301">
        <f t="shared" si="22"/>
        <v>0.13882592253083675</v>
      </c>
      <c r="D53" s="381">
        <v>1735.93</v>
      </c>
      <c r="E53" s="301">
        <f t="shared" si="19"/>
        <v>0.1500681644695836</v>
      </c>
      <c r="F53" s="361">
        <v>2532.92</v>
      </c>
      <c r="G53" s="301">
        <f t="shared" si="20"/>
        <v>0.2291380951174766</v>
      </c>
      <c r="H53" s="201">
        <v>2444.4</v>
      </c>
      <c r="I53" s="167">
        <f t="shared" si="23"/>
        <v>0.23552740737743066</v>
      </c>
      <c r="J53" s="399">
        <v>2317.88</v>
      </c>
    </row>
    <row r="54" spans="1:10" ht="20">
      <c r="A54" s="155" t="s">
        <v>32</v>
      </c>
      <c r="B54" s="414">
        <f>128.4+43.71+289.54</f>
        <v>461.65000000000003</v>
      </c>
      <c r="C54" s="301">
        <f t="shared" si="22"/>
        <v>3.7683222578751938E-2</v>
      </c>
      <c r="D54" s="381">
        <f>127.008+40.2+293.381</f>
        <v>460.58899999999994</v>
      </c>
      <c r="E54" s="301">
        <f t="shared" si="19"/>
        <v>3.9817127306332072E-2</v>
      </c>
      <c r="F54" s="361">
        <f>82.84+63.88+316.77</f>
        <v>463.49</v>
      </c>
      <c r="G54" s="301">
        <f t="shared" si="20"/>
        <v>4.1929163063183686E-2</v>
      </c>
      <c r="H54" s="201">
        <v>586.82999999999993</v>
      </c>
      <c r="I54" s="167">
        <f t="shared" si="23"/>
        <v>5.6543343344500743E-2</v>
      </c>
      <c r="J54" s="399">
        <v>494.06</v>
      </c>
    </row>
    <row r="55" spans="1:10">
      <c r="A55" s="155" t="s">
        <v>36</v>
      </c>
      <c r="B55" s="414">
        <v>2460.81</v>
      </c>
      <c r="C55" s="301">
        <f t="shared" si="22"/>
        <v>0.20086916701834409</v>
      </c>
      <c r="D55" s="381">
        <v>2385.828</v>
      </c>
      <c r="E55" s="301">
        <f t="shared" si="19"/>
        <v>0.20625072940737108</v>
      </c>
      <c r="F55" s="361">
        <v>2790.45</v>
      </c>
      <c r="G55" s="301">
        <f t="shared" si="20"/>
        <v>0.25243529109508489</v>
      </c>
      <c r="H55" s="201">
        <v>2003.26</v>
      </c>
      <c r="I55" s="167">
        <f t="shared" si="23"/>
        <v>0.19302185980318759</v>
      </c>
      <c r="J55" s="399">
        <v>2732.33</v>
      </c>
    </row>
    <row r="56" spans="1:10">
      <c r="A56" s="155" t="s">
        <v>129</v>
      </c>
      <c r="B56" s="416">
        <v>0</v>
      </c>
      <c r="C56" s="301">
        <f t="shared" si="22"/>
        <v>0</v>
      </c>
      <c r="D56" s="423">
        <v>0</v>
      </c>
      <c r="E56" s="301">
        <f t="shared" si="19"/>
        <v>0</v>
      </c>
      <c r="F56" s="200">
        <v>0</v>
      </c>
      <c r="G56" s="301">
        <f t="shared" si="20"/>
        <v>0</v>
      </c>
      <c r="H56" s="200">
        <v>0</v>
      </c>
      <c r="I56" s="167">
        <f t="shared" si="23"/>
        <v>0</v>
      </c>
      <c r="J56" s="401">
        <v>70</v>
      </c>
    </row>
    <row r="57" spans="1:10" s="2" customFormat="1" ht="10.5">
      <c r="A57" s="153" t="s">
        <v>37</v>
      </c>
      <c r="B57" s="396">
        <f>SUM(B58:B61)</f>
        <v>3855.8999999999996</v>
      </c>
      <c r="C57" s="300">
        <f t="shared" si="22"/>
        <v>0.31474653512706507</v>
      </c>
      <c r="D57" s="412">
        <f>SUM(D58:D61)</f>
        <v>3653.7700000000004</v>
      </c>
      <c r="E57" s="300">
        <f t="shared" si="19"/>
        <v>0.31586213573936189</v>
      </c>
      <c r="F57" s="298">
        <f>SUM(F58:F61)</f>
        <v>3397.7200000000003</v>
      </c>
      <c r="G57" s="300">
        <f t="shared" si="20"/>
        <v>0.30737136922703939</v>
      </c>
      <c r="H57" s="199">
        <f t="shared" ref="H57" si="25">SUM(H58:H61)</f>
        <v>3264.59</v>
      </c>
      <c r="I57" s="166">
        <f t="shared" si="23"/>
        <v>0.31455589054585437</v>
      </c>
      <c r="J57" s="398">
        <f>SUM(J58:J61)</f>
        <v>3320.63</v>
      </c>
    </row>
    <row r="58" spans="1:10">
      <c r="A58" s="155" t="s">
        <v>38</v>
      </c>
      <c r="B58" s="414">
        <v>110</v>
      </c>
      <c r="C58" s="301">
        <f t="shared" si="22"/>
        <v>8.9789981233893926E-3</v>
      </c>
      <c r="D58" s="381">
        <v>110</v>
      </c>
      <c r="E58" s="301">
        <f t="shared" si="19"/>
        <v>9.5093109121071676E-3</v>
      </c>
      <c r="F58" s="361">
        <v>110</v>
      </c>
      <c r="G58" s="301">
        <f t="shared" si="20"/>
        <v>9.9510408788759316E-3</v>
      </c>
      <c r="H58" s="201">
        <v>110</v>
      </c>
      <c r="I58" s="167">
        <f t="shared" si="23"/>
        <v>1.0598926039730555E-2</v>
      </c>
      <c r="J58" s="399">
        <v>114</v>
      </c>
    </row>
    <row r="59" spans="1:10">
      <c r="A59" s="155" t="s">
        <v>39</v>
      </c>
      <c r="B59" s="414">
        <v>2315.38</v>
      </c>
      <c r="C59" s="301">
        <f t="shared" si="22"/>
        <v>0.18899811522666665</v>
      </c>
      <c r="D59" s="381">
        <v>2315.38</v>
      </c>
      <c r="E59" s="301">
        <f t="shared" si="19"/>
        <v>0.2001606209061336</v>
      </c>
      <c r="F59" s="361">
        <v>2315.38</v>
      </c>
      <c r="G59" s="301">
        <f t="shared" si="20"/>
        <v>0.20945855481937958</v>
      </c>
      <c r="H59" s="201">
        <v>2315.38</v>
      </c>
      <c r="I59" s="167">
        <f t="shared" si="23"/>
        <v>0.22309583067155761</v>
      </c>
      <c r="J59" s="399">
        <v>2311.38</v>
      </c>
    </row>
    <row r="60" spans="1:10" ht="20">
      <c r="A60" s="155" t="s">
        <v>141</v>
      </c>
      <c r="B60" s="414">
        <v>1396.82</v>
      </c>
      <c r="C60" s="301">
        <f t="shared" si="22"/>
        <v>0.11401858326102519</v>
      </c>
      <c r="D60" s="381">
        <v>1195.3</v>
      </c>
      <c r="E60" s="301">
        <f t="shared" si="19"/>
        <v>0.10333163030219725</v>
      </c>
      <c r="F60" s="361">
        <v>945.09</v>
      </c>
      <c r="G60" s="301">
        <f t="shared" si="20"/>
        <v>8.5496629311062305E-2</v>
      </c>
      <c r="H60" s="201">
        <v>760.66</v>
      </c>
      <c r="I60" s="167">
        <f t="shared" si="23"/>
        <v>7.3292537103467684E-2</v>
      </c>
      <c r="J60" s="399">
        <v>613.65</v>
      </c>
    </row>
    <row r="61" spans="1:10">
      <c r="A61" s="155" t="s">
        <v>40</v>
      </c>
      <c r="B61" s="414">
        <v>33.700000000000003</v>
      </c>
      <c r="C61" s="301">
        <f t="shared" si="22"/>
        <v>2.7508385159838414E-3</v>
      </c>
      <c r="D61" s="381">
        <v>33.090000000000003</v>
      </c>
      <c r="E61" s="301">
        <f t="shared" si="19"/>
        <v>2.8605736189238748E-3</v>
      </c>
      <c r="F61" s="361">
        <v>27.25</v>
      </c>
      <c r="G61" s="301">
        <f t="shared" si="20"/>
        <v>2.4651442177215377E-3</v>
      </c>
      <c r="H61" s="201">
        <v>78.55</v>
      </c>
      <c r="I61" s="167">
        <f t="shared" si="23"/>
        <v>7.5685967310985015E-3</v>
      </c>
      <c r="J61" s="399">
        <v>281.60000000000002</v>
      </c>
    </row>
    <row r="62" spans="1:10" s="2" customFormat="1" ht="10.5">
      <c r="A62" s="153" t="s">
        <v>41</v>
      </c>
      <c r="B62" s="396">
        <f>SUM(B63:B67)</f>
        <v>2344.5299999999997</v>
      </c>
      <c r="C62" s="300">
        <f t="shared" si="22"/>
        <v>0.19137754972936483</v>
      </c>
      <c r="D62" s="412">
        <f>SUM(D63:D67)</f>
        <v>2326.19</v>
      </c>
      <c r="E62" s="300">
        <f t="shared" si="19"/>
        <v>0.20109512682395067</v>
      </c>
      <c r="F62" s="298">
        <f>SUM(F63:F67)</f>
        <v>2145.36</v>
      </c>
      <c r="G62" s="300">
        <f t="shared" si="20"/>
        <v>0.19407786418095699</v>
      </c>
      <c r="H62" s="199">
        <f t="shared" ref="H62" si="26">SUM(H63:H67)</f>
        <v>2489.0399999999995</v>
      </c>
      <c r="I62" s="166">
        <f t="shared" si="23"/>
        <v>0.23982864427209943</v>
      </c>
      <c r="J62" s="398">
        <f>SUM(J63:J67)</f>
        <v>2519.25</v>
      </c>
    </row>
    <row r="63" spans="1:10">
      <c r="A63" s="155" t="s">
        <v>42</v>
      </c>
      <c r="B63" s="420">
        <v>1136.92</v>
      </c>
      <c r="C63" s="301">
        <f t="shared" si="22"/>
        <v>9.280365951312608E-2</v>
      </c>
      <c r="D63" s="381">
        <v>1116.5899999999999</v>
      </c>
      <c r="E63" s="301">
        <f t="shared" si="19"/>
        <v>9.6527286103179469E-2</v>
      </c>
      <c r="F63" s="361">
        <v>1160.54</v>
      </c>
      <c r="G63" s="301">
        <f t="shared" si="20"/>
        <v>0.10498709983246067</v>
      </c>
      <c r="H63" s="201">
        <v>1180.3699999999999</v>
      </c>
      <c r="I63" s="167">
        <f t="shared" si="23"/>
        <v>0.11373322117742506</v>
      </c>
      <c r="J63" s="399">
        <v>1093.3800000000001</v>
      </c>
    </row>
    <row r="64" spans="1:10">
      <c r="A64" s="155" t="s">
        <v>43</v>
      </c>
      <c r="B64" s="420">
        <v>1066.7</v>
      </c>
      <c r="C64" s="301">
        <f t="shared" si="22"/>
        <v>8.707179362017696E-2</v>
      </c>
      <c r="D64" s="381">
        <v>1087.6199999999999</v>
      </c>
      <c r="E64" s="301">
        <f t="shared" si="19"/>
        <v>9.4022879402054518E-2</v>
      </c>
      <c r="F64" s="361">
        <v>882.88</v>
      </c>
      <c r="G64" s="301">
        <f t="shared" si="20"/>
        <v>7.9868863374018023E-2</v>
      </c>
      <c r="H64" s="201">
        <v>1223.53</v>
      </c>
      <c r="I64" s="167">
        <f t="shared" si="23"/>
        <v>0.11789185433992297</v>
      </c>
      <c r="J64" s="399">
        <v>1293.75</v>
      </c>
    </row>
    <row r="65" spans="1:10">
      <c r="A65" s="155" t="s">
        <v>44</v>
      </c>
      <c r="B65" s="421">
        <v>0</v>
      </c>
      <c r="C65" s="301">
        <f t="shared" si="22"/>
        <v>0</v>
      </c>
      <c r="D65" s="352">
        <v>0</v>
      </c>
      <c r="E65" s="301">
        <f t="shared" si="19"/>
        <v>0</v>
      </c>
      <c r="F65" s="352">
        <v>0</v>
      </c>
      <c r="G65" s="301">
        <f t="shared" si="20"/>
        <v>0</v>
      </c>
      <c r="H65" s="201">
        <v>0</v>
      </c>
      <c r="I65" s="167">
        <f t="shared" si="23"/>
        <v>0</v>
      </c>
      <c r="J65" s="399">
        <v>78.38000000000001</v>
      </c>
    </row>
    <row r="66" spans="1:10">
      <c r="A66" s="155" t="s">
        <v>45</v>
      </c>
      <c r="B66" s="420">
        <v>92.21</v>
      </c>
      <c r="C66" s="301">
        <f t="shared" si="22"/>
        <v>7.5268492450703255E-3</v>
      </c>
      <c r="D66" s="381">
        <v>78.760000000000005</v>
      </c>
      <c r="E66" s="301">
        <f t="shared" si="19"/>
        <v>6.8086666130687326E-3</v>
      </c>
      <c r="F66" s="361">
        <f>77.71</f>
        <v>77.709999999999994</v>
      </c>
      <c r="G66" s="301">
        <f t="shared" si="20"/>
        <v>7.0299580608858964E-3</v>
      </c>
      <c r="H66" s="201">
        <v>63.75</v>
      </c>
      <c r="I66" s="167">
        <f t="shared" si="23"/>
        <v>6.1425594093892999E-3</v>
      </c>
      <c r="J66" s="399">
        <v>17.68</v>
      </c>
    </row>
    <row r="67" spans="1:10">
      <c r="A67" s="155" t="s">
        <v>46</v>
      </c>
      <c r="B67" s="420">
        <v>48.7</v>
      </c>
      <c r="C67" s="301">
        <f t="shared" si="22"/>
        <v>3.9752473509914862E-3</v>
      </c>
      <c r="D67" s="381">
        <v>43.22</v>
      </c>
      <c r="E67" s="301">
        <f t="shared" si="19"/>
        <v>3.7362947056479253E-3</v>
      </c>
      <c r="F67" s="381">
        <v>24.23</v>
      </c>
      <c r="G67" s="301">
        <f t="shared" si="20"/>
        <v>2.1919429135923985E-3</v>
      </c>
      <c r="H67" s="201">
        <v>21.39</v>
      </c>
      <c r="I67" s="167">
        <f t="shared" si="23"/>
        <v>2.0610093453621511E-3</v>
      </c>
      <c r="J67" s="399">
        <v>36.06</v>
      </c>
    </row>
    <row r="68" spans="1:10" s="2" customFormat="1" ht="10.5">
      <c r="A68" s="153" t="s">
        <v>47</v>
      </c>
      <c r="B68" s="422">
        <f>SUM(B69:B73)</f>
        <v>6050.38</v>
      </c>
      <c r="C68" s="300">
        <f t="shared" si="22"/>
        <v>0.49387591514357015</v>
      </c>
      <c r="D68" s="382">
        <f>SUM(D69:D73)</f>
        <v>5587.6500000000005</v>
      </c>
      <c r="E68" s="300">
        <f t="shared" si="19"/>
        <v>0.48304273743668746</v>
      </c>
      <c r="F68" s="382">
        <f>SUM(F69:F73)</f>
        <v>5511.04</v>
      </c>
      <c r="G68" s="300">
        <f t="shared" si="20"/>
        <v>0.49855076659200376</v>
      </c>
      <c r="H68" s="284">
        <f t="shared" ref="H68" si="27">SUM(H69:H73)</f>
        <v>4624.7800000000007</v>
      </c>
      <c r="I68" s="166">
        <f t="shared" si="23"/>
        <v>0.44561546518204626</v>
      </c>
      <c r="J68" s="402">
        <f>SUM(J69:J73)</f>
        <v>4888.99</v>
      </c>
    </row>
    <row r="69" spans="1:10">
      <c r="A69" s="155" t="s">
        <v>42</v>
      </c>
      <c r="B69" s="420">
        <v>893.31</v>
      </c>
      <c r="C69" s="301">
        <f t="shared" si="22"/>
        <v>7.2918443760045248E-2</v>
      </c>
      <c r="D69" s="381">
        <v>734.48</v>
      </c>
      <c r="E69" s="301">
        <f t="shared" si="19"/>
        <v>6.3494533442949752E-2</v>
      </c>
      <c r="F69" s="381">
        <v>747.32</v>
      </c>
      <c r="G69" s="301">
        <f t="shared" si="20"/>
        <v>6.7605562450923293E-2</v>
      </c>
      <c r="H69" s="201">
        <v>741.71</v>
      </c>
      <c r="I69" s="167">
        <f t="shared" si="23"/>
        <v>7.1466631208441378E-2</v>
      </c>
      <c r="J69" s="399">
        <v>774.05</v>
      </c>
    </row>
    <row r="70" spans="1:10">
      <c r="A70" s="155" t="s">
        <v>43</v>
      </c>
      <c r="B70" s="420">
        <v>355.51</v>
      </c>
      <c r="C70" s="301">
        <f t="shared" si="22"/>
        <v>2.9019305662237843E-2</v>
      </c>
      <c r="D70" s="381">
        <v>275.70999999999998</v>
      </c>
      <c r="E70" s="301">
        <f t="shared" si="19"/>
        <v>2.3834655559791518E-2</v>
      </c>
      <c r="F70" s="381">
        <v>411.1</v>
      </c>
      <c r="G70" s="301">
        <f t="shared" si="20"/>
        <v>3.718975368459905E-2</v>
      </c>
      <c r="H70" s="201">
        <v>202.55</v>
      </c>
      <c r="I70" s="167">
        <f t="shared" si="23"/>
        <v>1.9516476994067493E-2</v>
      </c>
      <c r="J70" s="399">
        <v>285.99</v>
      </c>
    </row>
    <row r="71" spans="1:10" s="385" customFormat="1">
      <c r="A71" s="376" t="s">
        <v>154</v>
      </c>
      <c r="B71" s="420">
        <v>957.24</v>
      </c>
      <c r="C71" s="301">
        <f t="shared" si="22"/>
        <v>7.8136874214847843E-2</v>
      </c>
      <c r="D71" s="381">
        <v>974.57</v>
      </c>
      <c r="E71" s="301">
        <f t="shared" si="19"/>
        <v>8.4249901232838931E-2</v>
      </c>
      <c r="F71" s="381">
        <v>0</v>
      </c>
      <c r="G71" s="301">
        <f t="shared" si="20"/>
        <v>0</v>
      </c>
      <c r="H71" s="361">
        <v>0</v>
      </c>
      <c r="I71" s="167">
        <f t="shared" si="23"/>
        <v>0</v>
      </c>
      <c r="J71" s="399">
        <v>0</v>
      </c>
    </row>
    <row r="72" spans="1:10">
      <c r="A72" s="155" t="s">
        <v>44</v>
      </c>
      <c r="B72" s="420">
        <v>2826.64</v>
      </c>
      <c r="C72" s="301">
        <f t="shared" si="22"/>
        <v>0.23073086595906719</v>
      </c>
      <c r="D72" s="381">
        <v>2615.2600000000002</v>
      </c>
      <c r="E72" s="301">
        <f t="shared" si="19"/>
        <v>0.22608473141815813</v>
      </c>
      <c r="F72" s="381">
        <v>3402.37</v>
      </c>
      <c r="G72" s="301">
        <f t="shared" si="20"/>
        <v>0.30779202686419183</v>
      </c>
      <c r="H72" s="201">
        <v>2818.01</v>
      </c>
      <c r="I72" s="167">
        <f t="shared" si="23"/>
        <v>0.27152617790201006</v>
      </c>
      <c r="J72" s="399">
        <v>2915.9500000000003</v>
      </c>
    </row>
    <row r="73" spans="1:10">
      <c r="A73" s="155" t="s">
        <v>45</v>
      </c>
      <c r="B73" s="414">
        <f>498.35+134.97+384.36</f>
        <v>1017.6800000000001</v>
      </c>
      <c r="C73" s="301">
        <f t="shared" si="22"/>
        <v>8.3070425547371984E-2</v>
      </c>
      <c r="D73" s="381">
        <f>520.23+74.61+392.8-0.01</f>
        <v>987.63000000000011</v>
      </c>
      <c r="E73" s="301">
        <f t="shared" si="19"/>
        <v>8.5378915782949122E-2</v>
      </c>
      <c r="F73" s="381">
        <f>458.57+78.42+413.26</f>
        <v>950.25</v>
      </c>
      <c r="G73" s="301">
        <f t="shared" si="20"/>
        <v>8.5963423592289576E-2</v>
      </c>
      <c r="H73" s="201">
        <v>862.51</v>
      </c>
      <c r="I73" s="167">
        <f t="shared" si="23"/>
        <v>8.3106179077527292E-2</v>
      </c>
      <c r="J73" s="399">
        <v>913</v>
      </c>
    </row>
    <row r="74" spans="1:10" s="2" customFormat="1" ht="10.5">
      <c r="A74" s="153" t="s">
        <v>48</v>
      </c>
      <c r="B74" s="417">
        <f>B57+B62+B68</f>
        <v>12250.81</v>
      </c>
      <c r="C74" s="302">
        <f t="shared" si="22"/>
        <v>1</v>
      </c>
      <c r="D74" s="382">
        <f>D57+D62+D68</f>
        <v>11567.61</v>
      </c>
      <c r="E74" s="302">
        <f t="shared" si="19"/>
        <v>1</v>
      </c>
      <c r="F74" s="383">
        <f>F57+F62+F68</f>
        <v>11054.119999999999</v>
      </c>
      <c r="G74" s="302">
        <f t="shared" si="20"/>
        <v>1</v>
      </c>
      <c r="H74" s="284">
        <f t="shared" ref="H74" si="28">H57+H62+H68</f>
        <v>10378.41</v>
      </c>
      <c r="I74" s="173">
        <f t="shared" si="23"/>
        <v>1</v>
      </c>
      <c r="J74" s="402">
        <f>J57+J62+J68</f>
        <v>10728.869999999999</v>
      </c>
    </row>
    <row r="75" spans="1:10" ht="10.5">
      <c r="A75" s="155"/>
      <c r="B75" s="321"/>
      <c r="C75" s="168"/>
      <c r="D75" s="321"/>
      <c r="E75" s="168"/>
      <c r="F75" s="321"/>
      <c r="G75" s="168"/>
      <c r="H75" s="321"/>
      <c r="I75" s="172"/>
      <c r="J75" s="403"/>
    </row>
    <row r="76" spans="1:10">
      <c r="A76" s="155" t="s">
        <v>49</v>
      </c>
      <c r="B76" s="322">
        <v>-1143.53</v>
      </c>
      <c r="C76" s="202">
        <f>IF((+B76/D76)&lt;0,"n.m.",IF(B76&lt;0,(+B76/D76-1)*-1,(+B76/D76-1)))</f>
        <v>6.1356995107856971E-2</v>
      </c>
      <c r="D76" s="322">
        <v>-1218.28</v>
      </c>
      <c r="E76" s="202">
        <f>IF((+D76/F76)&lt;0,"n.m.",IF(D76&lt;0,(+D76/F76-1)*-1,(+D76/F76-1)))</f>
        <v>8.7458053691275128E-2</v>
      </c>
      <c r="F76" s="322">
        <v>-1335.04</v>
      </c>
      <c r="G76" s="202">
        <f t="shared" ref="G76" si="29">IF((+F76/H76)&lt;0,"n.m.",IF(F76&lt;0,(+F76/H76-1)*-1,(+F76/H76-1)))</f>
        <v>-1.9729657506791964</v>
      </c>
      <c r="H76" s="322">
        <v>-449.06</v>
      </c>
      <c r="I76" s="202">
        <f>(H76/J76)-1</f>
        <v>-0.58970469994883423</v>
      </c>
      <c r="J76" s="399">
        <v>-1094.48</v>
      </c>
    </row>
    <row r="77" spans="1:10" s="14" customFormat="1">
      <c r="A77" s="169" t="s">
        <v>50</v>
      </c>
      <c r="B77" s="317">
        <f>B57/B74</f>
        <v>0.31474653512706507</v>
      </c>
      <c r="C77" s="193"/>
      <c r="D77" s="317">
        <f>D57/D74</f>
        <v>0.31586213573936189</v>
      </c>
      <c r="E77" s="193"/>
      <c r="F77" s="317">
        <v>0.307</v>
      </c>
      <c r="G77" s="193"/>
      <c r="H77" s="317">
        <v>0.315</v>
      </c>
      <c r="I77" s="318"/>
      <c r="J77" s="404">
        <v>0.31</v>
      </c>
    </row>
    <row r="78" spans="1:10" s="14" customFormat="1">
      <c r="A78" s="169" t="s">
        <v>51</v>
      </c>
      <c r="B78" s="323">
        <v>-0.29699999999999999</v>
      </c>
      <c r="C78" s="170"/>
      <c r="D78" s="323">
        <v>-0.33300000000000002</v>
      </c>
      <c r="E78" s="170"/>
      <c r="F78" s="323">
        <v>-0.39300000000000002</v>
      </c>
      <c r="G78" s="170"/>
      <c r="H78" s="323">
        <v>-0.13800000000000001</v>
      </c>
      <c r="I78" s="324"/>
      <c r="J78" s="405">
        <v>-0.33</v>
      </c>
    </row>
    <row r="79" spans="1:10" s="14" customFormat="1">
      <c r="A79" s="169" t="s">
        <v>52</v>
      </c>
      <c r="B79" s="317">
        <f>(B49-B68-B55+B70)/B4</f>
        <v>-7.3696578564604237E-2</v>
      </c>
      <c r="C79" s="193"/>
      <c r="D79" s="317">
        <f>(D49-D68-D55+D70)/D4</f>
        <v>-5.9525095271055456E-2</v>
      </c>
      <c r="E79" s="193"/>
      <c r="F79" s="317">
        <f>(F49-F68-F55+F70)/F4</f>
        <v>-6.8993213272612042E-2</v>
      </c>
      <c r="G79" s="193"/>
      <c r="H79" s="318">
        <f>(H49-H68-H55+H70)/H4</f>
        <v>-1.4274470463192508E-2</v>
      </c>
      <c r="I79" s="318"/>
      <c r="J79" s="404">
        <f>(J49-J68-J55+J70)/J4</f>
        <v>-6.785776333716359E-2</v>
      </c>
    </row>
    <row r="80" spans="1:10" s="14" customFormat="1">
      <c r="A80" s="169"/>
      <c r="B80" s="192"/>
      <c r="C80" s="161"/>
      <c r="D80" s="192"/>
      <c r="E80" s="161"/>
      <c r="F80" s="322"/>
      <c r="G80" s="161"/>
      <c r="H80" s="161"/>
      <c r="I80" s="161"/>
      <c r="J80" s="403"/>
    </row>
    <row r="81" spans="1:10">
      <c r="A81" s="155" t="s">
        <v>53</v>
      </c>
      <c r="B81" s="340">
        <f>B20</f>
        <v>378.55999999999921</v>
      </c>
      <c r="C81" s="202">
        <f t="shared" ref="C81:C89" si="30">IF((+B81/D81)&lt;0,"n.m.",IF(B81&lt;0,(+B81/D81-1)*-1,(+B81/D81-1)))</f>
        <v>4.3491683710873197E-2</v>
      </c>
      <c r="D81" s="340">
        <f>D20</f>
        <v>362.78200000000118</v>
      </c>
      <c r="E81" s="202">
        <f t="shared" ref="E81:E120" si="31">IF((+D81/F81)&lt;0,"n.m.",IF(D81&lt;0,(+D81/F81-1)*-1,(+D81/F81-1)))</f>
        <v>0.24087426460529326</v>
      </c>
      <c r="F81" s="340">
        <f>F20</f>
        <v>292.35999999999808</v>
      </c>
      <c r="G81" s="341">
        <f t="shared" ref="G81:G120" si="32">IF((+F81/H81)&lt;0,"n.m.",IF(F81&lt;0,(+F81/H81-1)*-1,(+F81/H81-1)))</f>
        <v>3.6737588652482112E-2</v>
      </c>
      <c r="H81" s="340">
        <f>H20</f>
        <v>281.99999999999818</v>
      </c>
      <c r="I81" s="288">
        <f t="shared" ref="I81:I89" si="33">IF((+H81/J81)&lt;0,"n.m.",IF(H81&lt;0,(+H81/J81-1)*-1,(+H81/J81-1)))</f>
        <v>0.54529015288509886</v>
      </c>
      <c r="J81" s="399">
        <f>J20</f>
        <v>182.48999999999774</v>
      </c>
    </row>
    <row r="82" spans="1:10">
      <c r="A82" s="155" t="s">
        <v>33</v>
      </c>
      <c r="B82" s="386">
        <v>32.9</v>
      </c>
      <c r="C82" s="202">
        <f t="shared" si="30"/>
        <v>-0.37151371590127613</v>
      </c>
      <c r="D82" s="386">
        <v>52.347999999999999</v>
      </c>
      <c r="E82" s="202">
        <f t="shared" si="31"/>
        <v>-0.10912185159972765</v>
      </c>
      <c r="F82" s="312">
        <v>58.76</v>
      </c>
      <c r="G82" s="202">
        <f t="shared" si="32"/>
        <v>2.7618437900128043</v>
      </c>
      <c r="H82" s="312">
        <v>15.62</v>
      </c>
      <c r="I82" s="203" t="str">
        <f t="shared" si="33"/>
        <v>n.m.</v>
      </c>
      <c r="J82" s="406">
        <v>-36.83</v>
      </c>
    </row>
    <row r="83" spans="1:10">
      <c r="A83" s="155" t="s">
        <v>142</v>
      </c>
      <c r="B83" s="312">
        <v>-14.44</v>
      </c>
      <c r="C83" s="202">
        <f t="shared" si="30"/>
        <v>-0.1839947523778287</v>
      </c>
      <c r="D83" s="312">
        <v>-12.196</v>
      </c>
      <c r="E83" s="202">
        <f t="shared" si="31"/>
        <v>0.76945179584120982</v>
      </c>
      <c r="F83" s="312">
        <v>-52.9</v>
      </c>
      <c r="G83" s="202"/>
      <c r="H83" s="312">
        <v>0</v>
      </c>
      <c r="I83" s="203"/>
      <c r="J83" s="406">
        <v>0</v>
      </c>
    </row>
    <row r="84" spans="1:10" s="15" customFormat="1" ht="20">
      <c r="A84" s="155" t="s">
        <v>54</v>
      </c>
      <c r="B84" s="312">
        <v>-18.989999999999998</v>
      </c>
      <c r="C84" s="202">
        <f t="shared" si="30"/>
        <v>-14.944584382871534</v>
      </c>
      <c r="D84" s="312">
        <v>-1.1910000000000001</v>
      </c>
      <c r="E84" s="202" t="str">
        <f t="shared" si="31"/>
        <v>n.m.</v>
      </c>
      <c r="F84" s="312">
        <v>3.72</v>
      </c>
      <c r="G84" s="202" t="str">
        <f t="shared" si="32"/>
        <v>n.m.</v>
      </c>
      <c r="H84" s="312">
        <v>-3.54</v>
      </c>
      <c r="I84" s="203">
        <f t="shared" si="33"/>
        <v>0.28484848484848491</v>
      </c>
      <c r="J84" s="406">
        <v>-4.95</v>
      </c>
    </row>
    <row r="85" spans="1:10" ht="20">
      <c r="A85" s="155" t="s">
        <v>143</v>
      </c>
      <c r="B85" s="312">
        <v>-16.43</v>
      </c>
      <c r="C85" s="202">
        <f t="shared" si="30"/>
        <v>0.72070173052731779</v>
      </c>
      <c r="D85" s="312">
        <v>-58.826000000000001</v>
      </c>
      <c r="E85" s="202" t="str">
        <f t="shared" si="31"/>
        <v>n.m.</v>
      </c>
      <c r="F85" s="312">
        <v>1.39</v>
      </c>
      <c r="G85" s="202">
        <f t="shared" si="32"/>
        <v>-0.95932104184957567</v>
      </c>
      <c r="H85" s="312">
        <v>34.17</v>
      </c>
      <c r="I85" s="203">
        <f t="shared" si="33"/>
        <v>5.1061211934789519E-2</v>
      </c>
      <c r="J85" s="406">
        <v>32.51</v>
      </c>
    </row>
    <row r="86" spans="1:10">
      <c r="A86" s="155" t="s">
        <v>55</v>
      </c>
      <c r="B86" s="387">
        <v>515.83000000000004</v>
      </c>
      <c r="C86" s="202">
        <f t="shared" si="30"/>
        <v>0.26942291128337637</v>
      </c>
      <c r="D86" s="387">
        <v>406.35</v>
      </c>
      <c r="E86" s="202">
        <f t="shared" si="31"/>
        <v>3.9391226499552401E-2</v>
      </c>
      <c r="F86" s="312">
        <v>390.95</v>
      </c>
      <c r="G86" s="202">
        <f t="shared" si="32"/>
        <v>-0.10268769078932272</v>
      </c>
      <c r="H86" s="312">
        <v>435.69</v>
      </c>
      <c r="I86" s="203">
        <f t="shared" si="33"/>
        <v>-0.13736709763003152</v>
      </c>
      <c r="J86" s="406">
        <v>505.07</v>
      </c>
    </row>
    <row r="87" spans="1:10">
      <c r="A87" s="155" t="s">
        <v>56</v>
      </c>
      <c r="B87" s="387">
        <v>24.17</v>
      </c>
      <c r="C87" s="202" t="str">
        <f t="shared" si="30"/>
        <v>n.m.</v>
      </c>
      <c r="D87" s="387">
        <v>-34.122</v>
      </c>
      <c r="E87" s="202">
        <f t="shared" si="31"/>
        <v>-0.352973830293418</v>
      </c>
      <c r="F87" s="312">
        <v>-25.22</v>
      </c>
      <c r="G87" s="202">
        <f t="shared" si="32"/>
        <v>-0.95503875968992236</v>
      </c>
      <c r="H87" s="312">
        <v>-12.9</v>
      </c>
      <c r="I87" s="203" t="str">
        <f t="shared" si="33"/>
        <v>n.m.</v>
      </c>
      <c r="J87" s="406">
        <v>12.1</v>
      </c>
    </row>
    <row r="88" spans="1:10" ht="20">
      <c r="A88" s="155" t="s">
        <v>57</v>
      </c>
      <c r="B88" s="387">
        <v>-50.55</v>
      </c>
      <c r="C88" s="202">
        <f t="shared" si="30"/>
        <v>0.16809294977289191</v>
      </c>
      <c r="D88" s="387">
        <v>-60.764000000000003</v>
      </c>
      <c r="E88" s="202">
        <f t="shared" si="31"/>
        <v>-0.72380141843971635</v>
      </c>
      <c r="F88" s="312">
        <v>-35.25</v>
      </c>
      <c r="G88" s="202">
        <f t="shared" si="32"/>
        <v>0.41898796769408275</v>
      </c>
      <c r="H88" s="312">
        <v>-60.67</v>
      </c>
      <c r="I88" s="203">
        <f t="shared" si="33"/>
        <v>-0.87195310089478584</v>
      </c>
      <c r="J88" s="406">
        <v>-32.409999999999997</v>
      </c>
    </row>
    <row r="89" spans="1:10" s="2" customFormat="1" ht="10.5">
      <c r="A89" s="153" t="s">
        <v>58</v>
      </c>
      <c r="B89" s="325">
        <f>SUM(B81:B88)</f>
        <v>851.04999999999916</v>
      </c>
      <c r="C89" s="154">
        <f t="shared" si="30"/>
        <v>0.30054203896506393</v>
      </c>
      <c r="D89" s="325">
        <f>SUM(D81:D88)</f>
        <v>654.38100000000122</v>
      </c>
      <c r="E89" s="154">
        <f t="shared" si="31"/>
        <v>3.245609883088485E-2</v>
      </c>
      <c r="F89" s="325">
        <f>SUM(F81:F88)</f>
        <v>633.80999999999813</v>
      </c>
      <c r="G89" s="154">
        <f t="shared" si="32"/>
        <v>-8.1927082578907462E-2</v>
      </c>
      <c r="H89" s="326">
        <f t="shared" ref="H89" si="34">SUM(H81:H88)</f>
        <v>690.3699999999983</v>
      </c>
      <c r="I89" s="204">
        <f t="shared" si="33"/>
        <v>4.9226420255935821E-2</v>
      </c>
      <c r="J89" s="407">
        <f>SUM(J81:J88)</f>
        <v>657.97999999999774</v>
      </c>
    </row>
    <row r="90" spans="1:10" s="2" customFormat="1" ht="10.5">
      <c r="A90" s="153" t="s">
        <v>59</v>
      </c>
      <c r="B90" s="327"/>
      <c r="C90" s="202"/>
      <c r="D90" s="327"/>
      <c r="E90" s="202"/>
      <c r="F90" s="327"/>
      <c r="G90" s="202"/>
      <c r="H90" s="316"/>
      <c r="I90" s="203"/>
      <c r="J90" s="408"/>
    </row>
    <row r="91" spans="1:10">
      <c r="A91" s="155" t="s">
        <v>60</v>
      </c>
      <c r="B91" s="388">
        <v>-24.19</v>
      </c>
      <c r="C91" s="202">
        <f t="shared" ref="C91:C120" si="35">IF((+B91/D91)&lt;0,"n.m.",IF(B91&lt;0,(+B91/D91-1)*-1,(+B91/D91-1)))</f>
        <v>0.76609940050280412</v>
      </c>
      <c r="D91" s="388">
        <v>-103.42</v>
      </c>
      <c r="E91" s="202" t="str">
        <f t="shared" si="31"/>
        <v>n.m.</v>
      </c>
      <c r="F91" s="322">
        <v>47.75</v>
      </c>
      <c r="G91" s="202" t="str">
        <f t="shared" si="32"/>
        <v>n.m.</v>
      </c>
      <c r="H91" s="322">
        <v>-99.7</v>
      </c>
      <c r="I91" s="203" t="str">
        <f t="shared" ref="I91:I110" si="36">IF((+H91/J91)&lt;0,"n.m.",IF(H91&lt;0,(+H91/J91-1)*-1,(+H91/J91-1)))</f>
        <v>n.m.</v>
      </c>
      <c r="J91" s="399">
        <v>9.48</v>
      </c>
    </row>
    <row r="92" spans="1:10" ht="20">
      <c r="A92" s="155" t="s">
        <v>61</v>
      </c>
      <c r="B92" s="388">
        <v>-85.76</v>
      </c>
      <c r="C92" s="202">
        <f t="shared" si="35"/>
        <v>-0.48553611640394956</v>
      </c>
      <c r="D92" s="388">
        <v>-57.73</v>
      </c>
      <c r="E92" s="202">
        <f t="shared" si="31"/>
        <v>-0.18493431855500808</v>
      </c>
      <c r="F92" s="322">
        <v>-48.72</v>
      </c>
      <c r="G92" s="202">
        <f t="shared" si="32"/>
        <v>-15.571428571428573</v>
      </c>
      <c r="H92" s="312">
        <v>-2.94</v>
      </c>
      <c r="I92" s="203" t="str">
        <f t="shared" si="36"/>
        <v>n.m.</v>
      </c>
      <c r="J92" s="406">
        <v>192.81</v>
      </c>
    </row>
    <row r="93" spans="1:10" ht="30">
      <c r="A93" s="155" t="s">
        <v>62</v>
      </c>
      <c r="B93" s="388"/>
      <c r="C93" s="202"/>
      <c r="D93" s="388"/>
      <c r="E93" s="202">
        <f t="shared" si="31"/>
        <v>-1</v>
      </c>
      <c r="F93" s="322">
        <v>24.7</v>
      </c>
      <c r="G93" s="202">
        <f t="shared" si="32"/>
        <v>4.9951456310679605</v>
      </c>
      <c r="H93" s="312">
        <v>4.12</v>
      </c>
      <c r="I93" s="203" t="str">
        <f t="shared" si="36"/>
        <v>n.m.</v>
      </c>
      <c r="J93" s="406">
        <v>-21.64</v>
      </c>
    </row>
    <row r="94" spans="1:10">
      <c r="A94" s="155" t="s">
        <v>63</v>
      </c>
      <c r="B94" s="388">
        <f>-1.73-3.8+14.95</f>
        <v>9.42</v>
      </c>
      <c r="C94" s="202">
        <f t="shared" si="35"/>
        <v>-0.38551859099804309</v>
      </c>
      <c r="D94" s="388">
        <f>-4.71+22.78-2.74</f>
        <v>15.33</v>
      </c>
      <c r="E94" s="202">
        <f t="shared" si="31"/>
        <v>-0.83772626230549374</v>
      </c>
      <c r="F94" s="322">
        <v>94.47</v>
      </c>
      <c r="G94" s="202" t="str">
        <f t="shared" si="32"/>
        <v>n.m.</v>
      </c>
      <c r="H94" s="312">
        <v>-75.2</v>
      </c>
      <c r="I94" s="203">
        <f t="shared" si="36"/>
        <v>-4.2477320307048156</v>
      </c>
      <c r="J94" s="313">
        <v>-14.33</v>
      </c>
    </row>
    <row r="95" spans="1:10" ht="23.25" customHeight="1">
      <c r="A95" s="155" t="s">
        <v>64</v>
      </c>
      <c r="B95" s="388">
        <v>197.23</v>
      </c>
      <c r="C95" s="202">
        <f t="shared" si="35"/>
        <v>1.15915269015745E-2</v>
      </c>
      <c r="D95" s="388">
        <v>194.97</v>
      </c>
      <c r="E95" s="202">
        <f t="shared" si="31"/>
        <v>-0.65924463009245504</v>
      </c>
      <c r="F95" s="322">
        <v>572.16999999999996</v>
      </c>
      <c r="G95" s="202" t="str">
        <f t="shared" si="32"/>
        <v>n.m.</v>
      </c>
      <c r="H95" s="312">
        <v>-187.84</v>
      </c>
      <c r="I95" s="203" t="str">
        <f t="shared" si="36"/>
        <v>n.m.</v>
      </c>
      <c r="J95" s="313">
        <v>206.53</v>
      </c>
    </row>
    <row r="96" spans="1:10" ht="30">
      <c r="A96" s="155" t="s">
        <v>65</v>
      </c>
      <c r="B96" s="388"/>
      <c r="C96" s="418"/>
      <c r="D96" s="388"/>
      <c r="E96" s="202">
        <f t="shared" si="31"/>
        <v>-1</v>
      </c>
      <c r="F96" s="322">
        <v>-4.55</v>
      </c>
      <c r="G96" s="202">
        <f t="shared" si="32"/>
        <v>-0.25344352617079879</v>
      </c>
      <c r="H96" s="312">
        <v>-3.63</v>
      </c>
      <c r="I96" s="203" t="str">
        <f t="shared" si="36"/>
        <v>n.m.</v>
      </c>
      <c r="J96" s="313">
        <v>14.93</v>
      </c>
    </row>
    <row r="97" spans="1:10">
      <c r="A97" s="155" t="s">
        <v>66</v>
      </c>
      <c r="B97" s="388">
        <f>-18.52+60.63-22.15</f>
        <v>19.96</v>
      </c>
      <c r="C97" s="418">
        <f t="shared" si="35"/>
        <v>-0.81844642532290335</v>
      </c>
      <c r="D97" s="388">
        <f>46.36-3.9+67.48</f>
        <v>109.94</v>
      </c>
      <c r="E97" s="202">
        <f t="shared" si="31"/>
        <v>3.8389084507042259</v>
      </c>
      <c r="F97" s="322">
        <v>22.72</v>
      </c>
      <c r="G97" s="202" t="str">
        <f t="shared" si="32"/>
        <v>n.m.</v>
      </c>
      <c r="H97" s="312">
        <v>-94.91</v>
      </c>
      <c r="I97" s="203" t="str">
        <f t="shared" si="36"/>
        <v>n.m.</v>
      </c>
      <c r="J97" s="313">
        <v>95.56</v>
      </c>
    </row>
    <row r="98" spans="1:10">
      <c r="A98" s="155" t="s">
        <v>67</v>
      </c>
      <c r="B98" s="388">
        <v>108.23</v>
      </c>
      <c r="C98" s="202" t="str">
        <f t="shared" si="35"/>
        <v>n.m.</v>
      </c>
      <c r="D98" s="388">
        <v>-24.494</v>
      </c>
      <c r="E98" s="202" t="str">
        <f t="shared" si="31"/>
        <v>n.m.</v>
      </c>
      <c r="F98" s="322">
        <v>2.84</v>
      </c>
      <c r="G98" s="202">
        <f t="shared" si="32"/>
        <v>-0.91622418879056045</v>
      </c>
      <c r="H98" s="312">
        <v>33.9</v>
      </c>
      <c r="I98" s="203">
        <f t="shared" si="36"/>
        <v>-0.65767949106331414</v>
      </c>
      <c r="J98" s="313">
        <v>99.03</v>
      </c>
    </row>
    <row r="99" spans="1:10" s="2" customFormat="1" ht="21">
      <c r="A99" s="153" t="s">
        <v>68</v>
      </c>
      <c r="B99" s="392">
        <f>SUM(B89:B98)</f>
        <v>1075.9399999999991</v>
      </c>
      <c r="C99" s="154">
        <f t="shared" si="35"/>
        <v>0.3637152920807547</v>
      </c>
      <c r="D99" s="392">
        <f>SUM(D89:D98)</f>
        <v>788.97700000000111</v>
      </c>
      <c r="E99" s="154">
        <f t="shared" si="31"/>
        <v>-0.41348285372326421</v>
      </c>
      <c r="F99" s="325">
        <f>SUM(F89:F98)</f>
        <v>1345.189999999998</v>
      </c>
      <c r="G99" s="154">
        <f>IF((+F99/H99)&lt;0,"n.m.",IF(F99&lt;0,(+F99/H99-1)*-1,(+F99/H99-1)))</f>
        <v>4.0921376386418116</v>
      </c>
      <c r="H99" s="326">
        <f>SUM(H89:H98)</f>
        <v>264.16999999999814</v>
      </c>
      <c r="I99" s="204">
        <f t="shared" si="36"/>
        <v>-0.78701979280042034</v>
      </c>
      <c r="J99" s="326">
        <f>SUM(J89:J98)</f>
        <v>1240.3499999999976</v>
      </c>
    </row>
    <row r="100" spans="1:10">
      <c r="A100" s="155" t="s">
        <v>69</v>
      </c>
      <c r="B100" s="388">
        <v>-31.38</v>
      </c>
      <c r="C100" s="202">
        <f t="shared" si="35"/>
        <v>-0.13893728222996504</v>
      </c>
      <c r="D100" s="388">
        <v>-27.552</v>
      </c>
      <c r="E100" s="202">
        <f t="shared" si="31"/>
        <v>0.43039073806078143</v>
      </c>
      <c r="F100" s="322">
        <v>-48.37</v>
      </c>
      <c r="G100" s="202">
        <f t="shared" si="32"/>
        <v>-0.23930310017934908</v>
      </c>
      <c r="H100" s="312">
        <v>-39.03</v>
      </c>
      <c r="I100" s="203">
        <f t="shared" si="36"/>
        <v>-0.67582653499355949</v>
      </c>
      <c r="J100" s="313">
        <v>-23.29</v>
      </c>
    </row>
    <row r="101" spans="1:10" ht="20">
      <c r="A101" s="155" t="s">
        <v>70</v>
      </c>
      <c r="B101" s="388">
        <v>-647.44000000000005</v>
      </c>
      <c r="C101" s="202">
        <f t="shared" si="35"/>
        <v>-3.801621115431697E-3</v>
      </c>
      <c r="D101" s="388">
        <v>-644.98800000000006</v>
      </c>
      <c r="E101" s="202">
        <f t="shared" si="31"/>
        <v>-0.4094401468467288</v>
      </c>
      <c r="F101" s="322">
        <v>-457.62</v>
      </c>
      <c r="G101" s="202">
        <f t="shared" si="32"/>
        <v>-0.10948940503321536</v>
      </c>
      <c r="H101" s="312">
        <v>-412.46</v>
      </c>
      <c r="I101" s="203">
        <f t="shared" si="36"/>
        <v>-4.2223626026531846E-2</v>
      </c>
      <c r="J101" s="313">
        <v>-395.75</v>
      </c>
    </row>
    <row r="102" spans="1:10">
      <c r="A102" s="155" t="s">
        <v>133</v>
      </c>
      <c r="B102" s="388">
        <v>105.47</v>
      </c>
      <c r="C102" s="202">
        <f t="shared" si="35"/>
        <v>-9.1191093724419026E-2</v>
      </c>
      <c r="D102" s="388">
        <v>116.053</v>
      </c>
      <c r="E102" s="202">
        <f t="shared" si="31"/>
        <v>-3.8898550724637659E-2</v>
      </c>
      <c r="F102" s="322">
        <v>120.75</v>
      </c>
      <c r="G102" s="202">
        <f t="shared" si="32"/>
        <v>-0.36175273534541996</v>
      </c>
      <c r="H102" s="285">
        <v>189.19</v>
      </c>
      <c r="I102" s="203">
        <v>0.94260190984700687</v>
      </c>
      <c r="J102" s="285">
        <v>97.39</v>
      </c>
    </row>
    <row r="103" spans="1:10" ht="20">
      <c r="A103" s="155" t="s">
        <v>71</v>
      </c>
      <c r="B103" s="388">
        <v>-11.23</v>
      </c>
      <c r="C103" s="202">
        <f t="shared" si="35"/>
        <v>0.1967095851216023</v>
      </c>
      <c r="D103" s="388">
        <v>-13.98</v>
      </c>
      <c r="E103" s="202" t="str">
        <f t="shared" si="31"/>
        <v>n.m.</v>
      </c>
      <c r="F103" s="322">
        <v>47.51</v>
      </c>
      <c r="G103" s="202" t="str">
        <f t="shared" si="32"/>
        <v>n.m.</v>
      </c>
      <c r="H103" s="312">
        <v>-14.13</v>
      </c>
      <c r="I103" s="203" t="str">
        <f t="shared" si="36"/>
        <v>n.m.</v>
      </c>
      <c r="J103" s="313">
        <v>7.54</v>
      </c>
    </row>
    <row r="104" spans="1:10">
      <c r="A104" s="155" t="s">
        <v>72</v>
      </c>
      <c r="B104" s="388">
        <v>-8.7200000000000006</v>
      </c>
      <c r="C104" s="202">
        <f t="shared" si="35"/>
        <v>0.87589485219816976</v>
      </c>
      <c r="D104" s="388">
        <v>-70.263000000000005</v>
      </c>
      <c r="E104" s="202" t="str">
        <f t="shared" si="31"/>
        <v>n.m.</v>
      </c>
      <c r="F104" s="322">
        <v>4.43</v>
      </c>
      <c r="G104" s="202" t="str">
        <f t="shared" si="32"/>
        <v>n.m.</v>
      </c>
      <c r="H104" s="312">
        <v>-158</v>
      </c>
      <c r="I104" s="203">
        <f t="shared" si="36"/>
        <v>-24.901639344262296</v>
      </c>
      <c r="J104" s="287">
        <v>-6.1</v>
      </c>
    </row>
    <row r="105" spans="1:10" s="2" customFormat="1" ht="21">
      <c r="A105" s="153" t="s">
        <v>73</v>
      </c>
      <c r="B105" s="325">
        <f>SUM(B100:B104)</f>
        <v>-593.30000000000007</v>
      </c>
      <c r="C105" s="154">
        <f t="shared" si="35"/>
        <v>7.4024940302467535E-2</v>
      </c>
      <c r="D105" s="325">
        <f>SUM(D100:D104)</f>
        <v>-640.73000000000013</v>
      </c>
      <c r="E105" s="154">
        <f t="shared" si="31"/>
        <v>-0.9223822382238227</v>
      </c>
      <c r="F105" s="325">
        <f>SUM(F100:F104)</f>
        <v>-333.3</v>
      </c>
      <c r="G105" s="154">
        <f t="shared" si="32"/>
        <v>0.23278779089841861</v>
      </c>
      <c r="H105" s="326">
        <f>SUM(H100:H104)</f>
        <v>-434.43</v>
      </c>
      <c r="I105" s="290">
        <f t="shared" si="36"/>
        <v>-0.35670341338496603</v>
      </c>
      <c r="J105" s="197">
        <f>SUM(J100:J104)</f>
        <v>-320.21000000000004</v>
      </c>
    </row>
    <row r="106" spans="1:10" ht="20">
      <c r="A106" s="155" t="s">
        <v>144</v>
      </c>
      <c r="B106" s="322">
        <f>16.65-135.25</f>
        <v>-118.6</v>
      </c>
      <c r="C106" s="202">
        <f t="shared" si="35"/>
        <v>0.21521399645324368</v>
      </c>
      <c r="D106" s="322">
        <f>33.465-184.589</f>
        <v>-151.124</v>
      </c>
      <c r="E106" s="202">
        <f t="shared" si="31"/>
        <v>-28.866403162055338</v>
      </c>
      <c r="F106" s="322">
        <v>-5.0599999999999996</v>
      </c>
      <c r="G106" s="202">
        <f t="shared" si="32"/>
        <v>0.98320777884711119</v>
      </c>
      <c r="H106" s="312">
        <v>-301.33000000000004</v>
      </c>
      <c r="I106" s="288">
        <f t="shared" si="36"/>
        <v>-1.3175665282264268</v>
      </c>
      <c r="J106" s="289">
        <v>-130.02000000000001</v>
      </c>
    </row>
    <row r="107" spans="1:10">
      <c r="A107" s="354" t="s">
        <v>150</v>
      </c>
      <c r="B107" s="312">
        <f>-100-18.5</f>
        <v>-118.5</v>
      </c>
      <c r="C107" s="202">
        <f t="shared" si="35"/>
        <v>0.32285714285714284</v>
      </c>
      <c r="D107" s="312">
        <v>-175</v>
      </c>
      <c r="E107" s="202">
        <f t="shared" si="31"/>
        <v>-0.44032921810699599</v>
      </c>
      <c r="F107" s="312">
        <v>-121.5</v>
      </c>
      <c r="G107" s="202"/>
      <c r="H107" s="312">
        <v>0</v>
      </c>
      <c r="I107" s="203">
        <f t="shared" si="36"/>
        <v>-1</v>
      </c>
      <c r="J107" s="313">
        <v>100</v>
      </c>
    </row>
    <row r="108" spans="1:10">
      <c r="A108" s="354" t="s">
        <v>157</v>
      </c>
      <c r="B108" s="312">
        <v>-56.43</v>
      </c>
      <c r="C108" s="202"/>
      <c r="D108" s="386">
        <v>0</v>
      </c>
      <c r="E108" s="202">
        <f t="shared" si="31"/>
        <v>-1</v>
      </c>
      <c r="F108" s="312">
        <v>-5.31</v>
      </c>
      <c r="G108" s="202">
        <f t="shared" si="32"/>
        <v>-5.5666003976142964E-2</v>
      </c>
      <c r="H108" s="312">
        <v>-5.03</v>
      </c>
      <c r="I108" s="203">
        <f t="shared" si="36"/>
        <v>-5.0602409638554224</v>
      </c>
      <c r="J108" s="313">
        <v>-0.83</v>
      </c>
    </row>
    <row r="109" spans="1:10" ht="20">
      <c r="A109" s="155" t="s">
        <v>145</v>
      </c>
      <c r="B109" s="388">
        <v>-4.49</v>
      </c>
      <c r="C109" s="202">
        <f t="shared" si="35"/>
        <v>0.77626071357384896</v>
      </c>
      <c r="D109" s="388">
        <v>-20.068000000000001</v>
      </c>
      <c r="E109" s="202" t="str">
        <f t="shared" si="31"/>
        <v>n.m.</v>
      </c>
      <c r="F109" s="322">
        <v>0.74</v>
      </c>
      <c r="G109" s="202">
        <f t="shared" si="32"/>
        <v>-0.95680093403385869</v>
      </c>
      <c r="H109" s="312">
        <v>17.13</v>
      </c>
      <c r="I109" s="203" t="str">
        <f t="shared" si="36"/>
        <v>n.m.</v>
      </c>
      <c r="J109" s="313">
        <v>-29.92</v>
      </c>
    </row>
    <row r="110" spans="1:10" ht="20">
      <c r="A110" s="155" t="s">
        <v>74</v>
      </c>
      <c r="B110" s="388">
        <v>-3.59</v>
      </c>
      <c r="C110" s="202">
        <f t="shared" si="35"/>
        <v>0.95399028541402331</v>
      </c>
      <c r="D110" s="388">
        <v>-78.027000000000001</v>
      </c>
      <c r="E110" s="202">
        <f t="shared" si="31"/>
        <v>-28.00631970260223</v>
      </c>
      <c r="F110" s="312">
        <v>-2.69</v>
      </c>
      <c r="G110" s="202">
        <f t="shared" si="32"/>
        <v>0.98686395155776929</v>
      </c>
      <c r="H110" s="312">
        <v>-204.78</v>
      </c>
      <c r="I110" s="203">
        <f t="shared" si="36"/>
        <v>-929.81818181818187</v>
      </c>
      <c r="J110" s="313">
        <v>-0.22</v>
      </c>
    </row>
    <row r="111" spans="1:10">
      <c r="A111" s="155" t="s">
        <v>146</v>
      </c>
      <c r="B111" s="388">
        <v>-110.01</v>
      </c>
      <c r="C111" s="202">
        <f t="shared" si="35"/>
        <v>-5.1840331778119086E-4</v>
      </c>
      <c r="D111" s="388">
        <v>-109.953</v>
      </c>
      <c r="E111" s="202">
        <f t="shared" si="31"/>
        <v>-9.1886792452830157E-2</v>
      </c>
      <c r="F111" s="322">
        <v>-100.7</v>
      </c>
      <c r="G111" s="202">
        <f t="shared" si="32"/>
        <v>-0.43508621918198664</v>
      </c>
      <c r="H111" s="312">
        <v>-70.17</v>
      </c>
      <c r="I111" s="203">
        <f t="shared" ref="I111:I120" si="37">IF((+H111/J111)&lt;0,"n.m.",IF(H111&lt;0,(+H111/J111-1)*-1,(+H111/J111-1)))</f>
        <v>-0.24062942008486554</v>
      </c>
      <c r="J111" s="313">
        <v>-56.56</v>
      </c>
    </row>
    <row r="112" spans="1:10" s="2" customFormat="1" ht="21">
      <c r="A112" s="153" t="s">
        <v>75</v>
      </c>
      <c r="B112" s="325">
        <f>SUM(B106:B111)</f>
        <v>-411.61999999999995</v>
      </c>
      <c r="C112" s="154">
        <f t="shared" si="35"/>
        <v>0.22942423039769977</v>
      </c>
      <c r="D112" s="325">
        <f>SUM(D106:D111)</f>
        <v>-534.17200000000003</v>
      </c>
      <c r="E112" s="154">
        <f t="shared" si="31"/>
        <v>-1.2777247143100805</v>
      </c>
      <c r="F112" s="325">
        <f>SUM(F106:F111)</f>
        <v>-234.51999999999998</v>
      </c>
      <c r="G112" s="154">
        <f t="shared" si="32"/>
        <v>0.58431706193058952</v>
      </c>
      <c r="H112" s="326">
        <f>SUM(H106:H111)</f>
        <v>-564.17999999999995</v>
      </c>
      <c r="I112" s="204">
        <f t="shared" si="37"/>
        <v>-3.7994895789025938</v>
      </c>
      <c r="J112" s="326">
        <f>SUM(J106:J111)</f>
        <v>-117.55000000000001</v>
      </c>
    </row>
    <row r="113" spans="1:10" s="2" customFormat="1" ht="21">
      <c r="A113" s="153" t="s">
        <v>76</v>
      </c>
      <c r="B113" s="328">
        <f>B99+B105+B112</f>
        <v>71.019999999999129</v>
      </c>
      <c r="C113" s="154" t="str">
        <f t="shared" si="35"/>
        <v>n.m.</v>
      </c>
      <c r="D113" s="328">
        <f>D99+D105+D112</f>
        <v>-385.92499999999905</v>
      </c>
      <c r="E113" s="154" t="str">
        <f t="shared" si="31"/>
        <v>n.m.</v>
      </c>
      <c r="F113" s="328">
        <f>F99+F105+F112</f>
        <v>777.36999999999807</v>
      </c>
      <c r="G113" s="154" t="str">
        <f t="shared" si="32"/>
        <v>n.m.</v>
      </c>
      <c r="H113" s="320">
        <f>H99+H105+H112</f>
        <v>-734.44000000000187</v>
      </c>
      <c r="I113" s="203" t="str">
        <f t="shared" si="37"/>
        <v>n.m.</v>
      </c>
      <c r="J113" s="320">
        <f>J99+J105+J112</f>
        <v>802.58999999999764</v>
      </c>
    </row>
    <row r="114" spans="1:10" ht="20">
      <c r="A114" s="155" t="s">
        <v>147</v>
      </c>
      <c r="B114" s="375">
        <f>D117</f>
        <v>2384.3369999999954</v>
      </c>
      <c r="C114" s="202">
        <f t="shared" si="35"/>
        <v>-0.14530457125732854</v>
      </c>
      <c r="D114" s="375">
        <f>F117</f>
        <v>2789.6919999999941</v>
      </c>
      <c r="E114" s="202">
        <f t="shared" si="31"/>
        <v>0.3965414012611308</v>
      </c>
      <c r="F114" s="322">
        <f>H117</f>
        <v>1997.571999999996</v>
      </c>
      <c r="G114" s="202">
        <f t="shared" si="32"/>
        <v>-0.26738750448353776</v>
      </c>
      <c r="H114" s="285">
        <f>J117</f>
        <v>2726.641999999998</v>
      </c>
      <c r="I114" s="203">
        <f t="shared" si="37"/>
        <v>0.43052566522668334</v>
      </c>
      <c r="J114" s="285">
        <v>1906.0419999999999</v>
      </c>
    </row>
    <row r="115" spans="1:10" ht="30">
      <c r="A115" s="155" t="s">
        <v>77</v>
      </c>
      <c r="B115" s="388">
        <v>3.97</v>
      </c>
      <c r="C115" s="202" t="str">
        <f t="shared" si="35"/>
        <v>n.m.</v>
      </c>
      <c r="D115" s="388">
        <v>-18.7</v>
      </c>
      <c r="E115" s="202" t="str">
        <f t="shared" si="31"/>
        <v>n.m.</v>
      </c>
      <c r="F115" s="322">
        <v>9.82</v>
      </c>
      <c r="G115" s="202">
        <f t="shared" si="32"/>
        <v>0.82867783985102417</v>
      </c>
      <c r="H115" s="322">
        <v>5.37</v>
      </c>
      <c r="I115" s="203">
        <f t="shared" si="37"/>
        <v>-5.9544658493870362E-2</v>
      </c>
      <c r="J115" s="285">
        <v>5.71</v>
      </c>
    </row>
    <row r="116" spans="1:10" ht="20">
      <c r="A116" s="155" t="s">
        <v>78</v>
      </c>
      <c r="B116" s="388">
        <v>0.64</v>
      </c>
      <c r="C116" s="202" t="str">
        <f t="shared" si="35"/>
        <v>n.m.</v>
      </c>
      <c r="D116" s="388">
        <v>-0.73</v>
      </c>
      <c r="E116" s="202" t="str">
        <f t="shared" si="31"/>
        <v>n.m.</v>
      </c>
      <c r="F116" s="322">
        <v>4.93</v>
      </c>
      <c r="G116" s="202"/>
      <c r="H116" s="322">
        <v>0</v>
      </c>
      <c r="I116" s="203">
        <f t="shared" si="37"/>
        <v>-1</v>
      </c>
      <c r="J116" s="285">
        <v>12.3</v>
      </c>
    </row>
    <row r="117" spans="1:10" s="2" customFormat="1" ht="32.25" customHeight="1">
      <c r="A117" s="153" t="s">
        <v>79</v>
      </c>
      <c r="B117" s="328">
        <f>B113+B114+B115+B116</f>
        <v>2459.9669999999942</v>
      </c>
      <c r="C117" s="154">
        <f t="shared" si="35"/>
        <v>3.1719509448538075E-2</v>
      </c>
      <c r="D117" s="328">
        <f>D113+D114+D115+D116</f>
        <v>2384.3369999999954</v>
      </c>
      <c r="E117" s="154">
        <f t="shared" si="31"/>
        <v>-0.14530457125732854</v>
      </c>
      <c r="F117" s="328">
        <f>F113+F114+F115+F116</f>
        <v>2789.6919999999941</v>
      </c>
      <c r="G117" s="154">
        <f t="shared" si="32"/>
        <v>0.3965414012611308</v>
      </c>
      <c r="H117" s="320">
        <f t="shared" ref="H117" si="38">H113+H114+H115+H116</f>
        <v>1997.571999999996</v>
      </c>
      <c r="I117" s="204">
        <f t="shared" si="37"/>
        <v>-0.26738750448353776</v>
      </c>
      <c r="J117" s="320">
        <f>J113+J114+J115+J116</f>
        <v>2726.641999999998</v>
      </c>
    </row>
    <row r="118" spans="1:10">
      <c r="A118" s="155" t="s">
        <v>80</v>
      </c>
      <c r="B118" s="388">
        <v>36.549999999999997</v>
      </c>
      <c r="C118" s="202">
        <f t="shared" si="35"/>
        <v>-0.19828909848651033</v>
      </c>
      <c r="D118" s="388">
        <v>45.59</v>
      </c>
      <c r="E118" s="202">
        <f t="shared" si="31"/>
        <v>7.5138121546962644E-3</v>
      </c>
      <c r="F118" s="322">
        <v>45.25</v>
      </c>
      <c r="G118" s="202">
        <f t="shared" si="32"/>
        <v>-8.5304224782696614E-2</v>
      </c>
      <c r="H118" s="329">
        <v>49.47</v>
      </c>
      <c r="I118" s="203">
        <f t="shared" si="37"/>
        <v>-0.26584945981241836</v>
      </c>
      <c r="J118" s="330">
        <v>67.384</v>
      </c>
    </row>
    <row r="119" spans="1:10">
      <c r="A119" s="155" t="s">
        <v>81</v>
      </c>
      <c r="B119" s="388">
        <v>24.32</v>
      </c>
      <c r="C119" s="202">
        <f t="shared" si="35"/>
        <v>-3.3386327503974522E-2</v>
      </c>
      <c r="D119" s="388">
        <v>25.16</v>
      </c>
      <c r="E119" s="202">
        <f t="shared" si="31"/>
        <v>-0.33456757471568377</v>
      </c>
      <c r="F119" s="322">
        <v>37.81</v>
      </c>
      <c r="G119" s="202">
        <f t="shared" si="32"/>
        <v>1.312968917470525E-2</v>
      </c>
      <c r="H119" s="329">
        <v>37.32</v>
      </c>
      <c r="I119" s="203">
        <f t="shared" si="37"/>
        <v>-0.23970174795257304</v>
      </c>
      <c r="J119" s="330">
        <v>49.085999999999999</v>
      </c>
    </row>
    <row r="120" spans="1:10">
      <c r="A120" s="155" t="s">
        <v>82</v>
      </c>
      <c r="B120" s="388">
        <v>122.74</v>
      </c>
      <c r="C120" s="202">
        <f t="shared" si="35"/>
        <v>0.35834440017706948</v>
      </c>
      <c r="D120" s="388">
        <v>90.36</v>
      </c>
      <c r="E120" s="202">
        <f t="shared" si="31"/>
        <v>2.6881632653061223</v>
      </c>
      <c r="F120" s="322">
        <v>24.5</v>
      </c>
      <c r="G120" s="202">
        <f t="shared" si="32"/>
        <v>-0.91076956695924538</v>
      </c>
      <c r="H120" s="329">
        <v>274.57</v>
      </c>
      <c r="I120" s="203">
        <f t="shared" si="37"/>
        <v>1.7172772796548106</v>
      </c>
      <c r="J120" s="330">
        <v>101.04600000000001</v>
      </c>
    </row>
    <row r="121" spans="1:10" s="16" customFormat="1" ht="10.5">
      <c r="A121" s="153" t="s">
        <v>83</v>
      </c>
      <c r="B121" s="331">
        <f>-B19/B18</f>
        <v>0.34418959185087705</v>
      </c>
      <c r="C121" s="171"/>
      <c r="D121" s="331">
        <f>-D19/D18</f>
        <v>0.31651283674434394</v>
      </c>
      <c r="E121" s="171"/>
      <c r="F121" s="331">
        <f>-F19/F18</f>
        <v>0.30590441822369024</v>
      </c>
      <c r="G121" s="171"/>
      <c r="H121" s="331">
        <f>-H19/H18</f>
        <v>0.33037304395317502</v>
      </c>
      <c r="I121" s="203"/>
      <c r="J121" s="331">
        <f>-J19/J18</f>
        <v>0.42363085086223534</v>
      </c>
    </row>
    <row r="122" spans="1:10">
      <c r="A122" s="155"/>
      <c r="B122" s="285"/>
      <c r="C122" s="162"/>
      <c r="D122" s="285"/>
      <c r="E122" s="162"/>
      <c r="F122" s="285"/>
      <c r="G122" s="162"/>
      <c r="H122" s="319"/>
      <c r="I122" s="203"/>
      <c r="J122" s="319"/>
    </row>
    <row r="123" spans="1:10" s="2" customFormat="1" ht="30.5">
      <c r="A123" s="354" t="s">
        <v>158</v>
      </c>
      <c r="B123" s="419">
        <v>689.24</v>
      </c>
      <c r="C123" s="157"/>
      <c r="D123" s="316"/>
      <c r="E123" s="157"/>
      <c r="F123" s="316"/>
      <c r="G123" s="157"/>
      <c r="H123" s="316"/>
      <c r="I123" s="203"/>
      <c r="J123" s="316"/>
    </row>
    <row r="124" spans="1:10" s="2" customFormat="1" ht="10.5">
      <c r="A124" s="153" t="s">
        <v>84</v>
      </c>
      <c r="B124" s="328">
        <f>-B100-B104+B123</f>
        <v>729.34</v>
      </c>
      <c r="C124" s="154">
        <f t="shared" ref="C124" si="39">IF((+B124/D124)&lt;0,"n.m.",IF(B124&lt;0,(+B124/D124-1)*-1,(+B124/D124-1)))</f>
        <v>-1.8124590234557592E-2</v>
      </c>
      <c r="D124" s="320">
        <f>-D101-D100-D104</f>
        <v>742.80300000000011</v>
      </c>
      <c r="E124" s="154">
        <f t="shared" ref="E124" si="40">IF((+D124/F124)&lt;0,"n.m.",IF(D124&lt;0,(+D124/F124-1)*-1,(+D124/F124-1)))</f>
        <v>0.48098532578355546</v>
      </c>
      <c r="F124" s="320">
        <f>-F101-F100-F104</f>
        <v>501.56</v>
      </c>
      <c r="G124" s="154">
        <f t="shared" ref="G124" si="41">IF((+F124/H124)&lt;0,"n.m.",IF(F124&lt;0,(+F124/H124-1)*-1,(+F124/H124-1)))</f>
        <v>-0.17708247879374561</v>
      </c>
      <c r="H124" s="320">
        <f>-H101-H100-H104</f>
        <v>609.49</v>
      </c>
      <c r="I124" s="204">
        <f>IF((+H124/J124)&lt;0,"n.m.",IF(H124&lt;0,(+H124/J124-1)*-1,(+H124/J124-1)))</f>
        <v>0.43362186573834482</v>
      </c>
      <c r="J124" s="320">
        <f>-J101-J100-J104</f>
        <v>425.14000000000004</v>
      </c>
    </row>
    <row r="125" spans="1:10">
      <c r="A125" s="155"/>
      <c r="B125" s="319"/>
      <c r="C125" s="162"/>
      <c r="D125" s="319"/>
      <c r="E125" s="162"/>
      <c r="F125" s="319"/>
      <c r="G125" s="162"/>
      <c r="H125" s="319"/>
      <c r="I125" s="319"/>
      <c r="J125" s="319"/>
    </row>
    <row r="126" spans="1:10" s="2" customFormat="1" ht="10.5">
      <c r="A126" s="2" t="s">
        <v>85</v>
      </c>
      <c r="B126" s="332"/>
      <c r="C126" s="10"/>
      <c r="D126" s="332"/>
      <c r="E126" s="10"/>
      <c r="F126" s="332"/>
      <c r="G126" s="10"/>
      <c r="H126" s="332"/>
      <c r="I126" s="332"/>
      <c r="J126" s="332"/>
    </row>
    <row r="127" spans="1:10" s="2" customFormat="1" ht="10.5">
      <c r="A127" s="6" t="s">
        <v>86</v>
      </c>
      <c r="B127" s="147">
        <v>29132</v>
      </c>
      <c r="C127" s="202">
        <f t="shared" ref="C127:C154" si="42">IF((+B127/D127)&lt;0,"n.m.",IF(B127&lt;0,(+B127/D127-1)*-1,(+B127/D127-1)))</f>
        <v>-1.5644534549755007E-2</v>
      </c>
      <c r="D127" s="147">
        <v>29595</v>
      </c>
      <c r="E127" s="202">
        <f t="shared" ref="E127:E156" si="43">IF((+D127/F127)&lt;0,"n.m.",IF(D127&lt;0,(+D127/F127-1)*-1,(+D127/F127-1)))</f>
        <v>-4.105394218797298E-3</v>
      </c>
      <c r="F127" s="147">
        <v>29717</v>
      </c>
      <c r="G127" s="202">
        <f t="shared" ref="G127:G157" si="44">IF((+F127/H127)&lt;0,"n.m.",IF(F127&lt;0,(+F127/H127-1)*-1,(+F127/H127-1)))</f>
        <v>3.0194827705747773E-2</v>
      </c>
      <c r="H127" s="205">
        <v>28846</v>
      </c>
      <c r="I127" s="209">
        <f t="shared" ref="I127:I154" si="45">IF((+H127/J127)&lt;0,"n.m.",IF(H127&lt;0,(+H127/J127-1)*-1,(+H127/J127-1)))</f>
        <v>-4.9672300793377477E-3</v>
      </c>
      <c r="J127" s="205">
        <v>28990</v>
      </c>
    </row>
    <row r="128" spans="1:10" s="2" customFormat="1" ht="10.5">
      <c r="A128" s="6" t="s">
        <v>87</v>
      </c>
      <c r="B128" s="147">
        <v>11524</v>
      </c>
      <c r="C128" s="202">
        <f t="shared" si="42"/>
        <v>3.5399820305480612E-2</v>
      </c>
      <c r="D128" s="147">
        <v>11130</v>
      </c>
      <c r="E128" s="202">
        <f t="shared" si="43"/>
        <v>5.2581804425950507E-2</v>
      </c>
      <c r="F128" s="147">
        <v>10574</v>
      </c>
      <c r="G128" s="202">
        <f t="shared" si="44"/>
        <v>2.5208454527826163E-2</v>
      </c>
      <c r="H128" s="205">
        <v>10314</v>
      </c>
      <c r="I128" s="209">
        <f t="shared" si="45"/>
        <v>-3.09298279528325E-3</v>
      </c>
      <c r="J128" s="205">
        <v>10346</v>
      </c>
    </row>
    <row r="129" spans="1:10" s="2" customFormat="1" ht="10.5">
      <c r="A129" s="9" t="s">
        <v>88</v>
      </c>
      <c r="B129" s="147">
        <v>6186</v>
      </c>
      <c r="C129" s="202">
        <f t="shared" si="42"/>
        <v>0.17292377701934014</v>
      </c>
      <c r="D129" s="147">
        <v>5274</v>
      </c>
      <c r="E129" s="202">
        <f t="shared" si="43"/>
        <v>0.11008208798147767</v>
      </c>
      <c r="F129" s="147">
        <v>4751</v>
      </c>
      <c r="G129" s="202">
        <f t="shared" si="44"/>
        <v>4.3258673693456373E-2</v>
      </c>
      <c r="H129" s="205">
        <v>4554</v>
      </c>
      <c r="I129" s="209">
        <f t="shared" si="45"/>
        <v>2.1763518061476361E-2</v>
      </c>
      <c r="J129" s="205">
        <v>4457</v>
      </c>
    </row>
    <row r="130" spans="1:10" s="2" customFormat="1" ht="10.5">
      <c r="A130" s="9" t="s">
        <v>89</v>
      </c>
      <c r="B130" s="147">
        <v>3916</v>
      </c>
      <c r="C130" s="202">
        <f t="shared" si="42"/>
        <v>4.5940170940170999E-2</v>
      </c>
      <c r="D130" s="147">
        <v>3744</v>
      </c>
      <c r="E130" s="202">
        <f t="shared" si="43"/>
        <v>2.323039081716316E-2</v>
      </c>
      <c r="F130" s="147">
        <v>3659</v>
      </c>
      <c r="G130" s="202">
        <f t="shared" si="44"/>
        <v>-3.5403050108931966E-3</v>
      </c>
      <c r="H130" s="205">
        <v>3672</v>
      </c>
      <c r="I130" s="209">
        <f t="shared" si="45"/>
        <v>-5.4171180931744667E-3</v>
      </c>
      <c r="J130" s="205">
        <v>3692</v>
      </c>
    </row>
    <row r="131" spans="1:10">
      <c r="A131" s="9" t="s">
        <v>90</v>
      </c>
      <c r="B131" s="147">
        <v>2890</v>
      </c>
      <c r="C131" s="202">
        <f t="shared" si="42"/>
        <v>-5.0591327201051195E-2</v>
      </c>
      <c r="D131" s="147">
        <v>3044</v>
      </c>
      <c r="E131" s="202">
        <f t="shared" si="43"/>
        <v>0.10932944606413986</v>
      </c>
      <c r="F131" s="147">
        <v>2744</v>
      </c>
      <c r="G131" s="202">
        <f t="shared" si="44"/>
        <v>5.7418111753371859E-2</v>
      </c>
      <c r="H131" s="205">
        <v>2595</v>
      </c>
      <c r="I131" s="209">
        <f t="shared" si="45"/>
        <v>-3.7462908011869467E-2</v>
      </c>
      <c r="J131" s="205">
        <v>2696</v>
      </c>
    </row>
    <row r="132" spans="1:10">
      <c r="A132" s="9" t="s">
        <v>132</v>
      </c>
      <c r="B132" s="147">
        <v>660</v>
      </c>
      <c r="C132" s="202">
        <f t="shared" si="42"/>
        <v>-9.4650205761316886E-2</v>
      </c>
      <c r="D132" s="147">
        <v>729</v>
      </c>
      <c r="E132" s="202">
        <f t="shared" si="43"/>
        <v>-0.17533936651583715</v>
      </c>
      <c r="F132" s="147">
        <v>884</v>
      </c>
      <c r="G132" s="202">
        <f t="shared" si="44"/>
        <v>-0.23197219808861858</v>
      </c>
      <c r="H132" s="205">
        <v>1151</v>
      </c>
      <c r="I132" s="209">
        <f t="shared" si="45"/>
        <v>-0.16835260115606931</v>
      </c>
      <c r="J132" s="205">
        <v>1384</v>
      </c>
    </row>
    <row r="133" spans="1:10">
      <c r="A133" s="9" t="s">
        <v>91</v>
      </c>
      <c r="B133" s="147">
        <v>1831</v>
      </c>
      <c r="C133" s="202">
        <f t="shared" si="42"/>
        <v>-3.8845144356955408E-2</v>
      </c>
      <c r="D133" s="147">
        <v>1905</v>
      </c>
      <c r="E133" s="202">
        <f t="shared" si="43"/>
        <v>-4.7021943573667402E-3</v>
      </c>
      <c r="F133" s="147">
        <v>1914</v>
      </c>
      <c r="G133" s="202">
        <f t="shared" si="44"/>
        <v>4.5330420535226734E-2</v>
      </c>
      <c r="H133" s="205">
        <v>1831</v>
      </c>
      <c r="I133" s="209">
        <f t="shared" si="45"/>
        <v>7.1507150715071077E-3</v>
      </c>
      <c r="J133" s="205">
        <v>1818</v>
      </c>
    </row>
    <row r="134" spans="1:10">
      <c r="A134" s="9" t="s">
        <v>92</v>
      </c>
      <c r="B134" s="147">
        <v>1524</v>
      </c>
      <c r="C134" s="202">
        <f t="shared" si="42"/>
        <v>8.7794432548179868E-2</v>
      </c>
      <c r="D134" s="147">
        <v>1401</v>
      </c>
      <c r="E134" s="202">
        <f t="shared" si="43"/>
        <v>2.9390154298310156E-2</v>
      </c>
      <c r="F134" s="147">
        <v>1361</v>
      </c>
      <c r="G134" s="202">
        <f t="shared" si="44"/>
        <v>2.8722600151171562E-2</v>
      </c>
      <c r="H134" s="205">
        <v>1323</v>
      </c>
      <c r="I134" s="209">
        <f t="shared" si="45"/>
        <v>4.2553191489361764E-2</v>
      </c>
      <c r="J134" s="205">
        <v>1269</v>
      </c>
    </row>
    <row r="135" spans="1:10">
      <c r="A135" s="9" t="s">
        <v>93</v>
      </c>
      <c r="B135" s="147">
        <v>1078</v>
      </c>
      <c r="C135" s="202">
        <f t="shared" si="42"/>
        <v>0.101123595505618</v>
      </c>
      <c r="D135" s="147">
        <v>979</v>
      </c>
      <c r="E135" s="202">
        <f t="shared" si="43"/>
        <v>0.14102564102564097</v>
      </c>
      <c r="F135" s="147">
        <v>858</v>
      </c>
      <c r="G135" s="202">
        <f t="shared" si="44"/>
        <v>0.21702127659574466</v>
      </c>
      <c r="H135" s="205">
        <v>705</v>
      </c>
      <c r="I135" s="209">
        <f t="shared" si="45"/>
        <v>1.7316017316017396E-2</v>
      </c>
      <c r="J135" s="205">
        <v>693</v>
      </c>
    </row>
    <row r="136" spans="1:10">
      <c r="A136" s="9" t="s">
        <v>94</v>
      </c>
      <c r="B136" s="147">
        <v>159</v>
      </c>
      <c r="C136" s="202">
        <f t="shared" si="42"/>
        <v>-5.9171597633136064E-2</v>
      </c>
      <c r="D136" s="147">
        <v>169</v>
      </c>
      <c r="E136" s="202">
        <f t="shared" si="43"/>
        <v>-0.20657276995305163</v>
      </c>
      <c r="F136" s="147">
        <v>213</v>
      </c>
      <c r="G136" s="202">
        <f t="shared" si="44"/>
        <v>-4.6728971962616273E-3</v>
      </c>
      <c r="H136" s="205">
        <v>214</v>
      </c>
      <c r="I136" s="209">
        <f t="shared" si="45"/>
        <v>-1.3824884792626779E-2</v>
      </c>
      <c r="J136" s="205">
        <v>217</v>
      </c>
    </row>
    <row r="137" spans="1:10">
      <c r="A137" s="9" t="s">
        <v>95</v>
      </c>
      <c r="B137" s="147">
        <v>1392</v>
      </c>
      <c r="C137" s="202">
        <f t="shared" si="42"/>
        <v>0.15327257663628835</v>
      </c>
      <c r="D137" s="147">
        <v>1207</v>
      </c>
      <c r="E137" s="202">
        <f t="shared" si="43"/>
        <v>0.16505791505791501</v>
      </c>
      <c r="F137" s="147">
        <v>1036</v>
      </c>
      <c r="G137" s="202">
        <f t="shared" si="44"/>
        <v>0.17727272727272725</v>
      </c>
      <c r="H137" s="205">
        <v>880</v>
      </c>
      <c r="I137" s="209">
        <f t="shared" si="45"/>
        <v>0.23422159887798033</v>
      </c>
      <c r="J137" s="205">
        <v>713</v>
      </c>
    </row>
    <row r="138" spans="1:10">
      <c r="A138" s="9" t="s">
        <v>96</v>
      </c>
      <c r="B138" s="147">
        <v>401</v>
      </c>
      <c r="C138" s="202">
        <f t="shared" si="42"/>
        <v>9.5628415300546443E-2</v>
      </c>
      <c r="D138" s="147">
        <v>366</v>
      </c>
      <c r="E138" s="202">
        <f t="shared" si="43"/>
        <v>5.7803468208092568E-2</v>
      </c>
      <c r="F138" s="147">
        <v>346</v>
      </c>
      <c r="G138" s="202">
        <f t="shared" si="44"/>
        <v>1.1695906432748648E-2</v>
      </c>
      <c r="H138" s="205">
        <v>342</v>
      </c>
      <c r="I138" s="209">
        <f t="shared" si="45"/>
        <v>5.8823529411764497E-3</v>
      </c>
      <c r="J138" s="205">
        <v>340</v>
      </c>
    </row>
    <row r="139" spans="1:10">
      <c r="A139" s="9" t="s">
        <v>97</v>
      </c>
      <c r="B139" s="147">
        <v>880</v>
      </c>
      <c r="C139" s="202">
        <f t="shared" si="42"/>
        <v>-8.9968976215098251E-2</v>
      </c>
      <c r="D139" s="147">
        <v>967</v>
      </c>
      <c r="E139" s="202">
        <f t="shared" si="43"/>
        <v>-9.3720712277413298E-2</v>
      </c>
      <c r="F139" s="147">
        <v>1067</v>
      </c>
      <c r="G139" s="202">
        <f t="shared" si="44"/>
        <v>-0.12826797385620914</v>
      </c>
      <c r="H139" s="205">
        <v>1224</v>
      </c>
      <c r="I139" s="209">
        <f t="shared" si="45"/>
        <v>-9.1314031180400934E-2</v>
      </c>
      <c r="J139" s="205">
        <v>1347</v>
      </c>
    </row>
    <row r="140" spans="1:10">
      <c r="A140" s="6" t="s">
        <v>98</v>
      </c>
      <c r="B140" s="362">
        <v>602</v>
      </c>
      <c r="C140" s="202">
        <f t="shared" si="42"/>
        <v>-2.2727272727272707E-2</v>
      </c>
      <c r="D140" s="362">
        <v>616</v>
      </c>
      <c r="E140" s="202">
        <f t="shared" si="43"/>
        <v>-2.8391167192429068E-2</v>
      </c>
      <c r="F140" s="362">
        <v>634</v>
      </c>
      <c r="G140" s="202">
        <f t="shared" si="44"/>
        <v>0</v>
      </c>
      <c r="H140" s="334">
        <v>634</v>
      </c>
      <c r="I140" s="209">
        <f t="shared" si="45"/>
        <v>-9.9431818181818232E-2</v>
      </c>
      <c r="J140" s="334">
        <v>704</v>
      </c>
    </row>
    <row r="141" spans="1:10">
      <c r="A141" s="6" t="s">
        <v>99</v>
      </c>
      <c r="B141" s="147">
        <v>436</v>
      </c>
      <c r="C141" s="202">
        <f t="shared" si="42"/>
        <v>6.9284064665127154E-3</v>
      </c>
      <c r="D141" s="147">
        <v>433</v>
      </c>
      <c r="E141" s="202">
        <f t="shared" si="43"/>
        <v>6.1274509803921573E-2</v>
      </c>
      <c r="F141" s="147">
        <v>408</v>
      </c>
      <c r="G141" s="202">
        <f t="shared" si="44"/>
        <v>-5.555555555555558E-2</v>
      </c>
      <c r="H141" s="205">
        <v>432</v>
      </c>
      <c r="I141" s="209">
        <f t="shared" si="45"/>
        <v>-0.11111111111111116</v>
      </c>
      <c r="J141" s="205">
        <v>486</v>
      </c>
    </row>
    <row r="142" spans="1:10" s="2" customFormat="1" ht="10.5">
      <c r="A142" s="6" t="s">
        <v>100</v>
      </c>
      <c r="B142" s="147">
        <v>171</v>
      </c>
      <c r="C142" s="202">
        <f t="shared" si="42"/>
        <v>0.19580419580419584</v>
      </c>
      <c r="D142" s="147">
        <v>143</v>
      </c>
      <c r="E142" s="202">
        <f t="shared" si="43"/>
        <v>-0.25520833333333337</v>
      </c>
      <c r="F142" s="147">
        <v>192</v>
      </c>
      <c r="G142" s="202">
        <f t="shared" si="44"/>
        <v>-0.25291828793774318</v>
      </c>
      <c r="H142" s="205">
        <v>257</v>
      </c>
      <c r="I142" s="209">
        <f t="shared" si="45"/>
        <v>-0.2614942528735632</v>
      </c>
      <c r="J142" s="205">
        <v>348</v>
      </c>
    </row>
    <row r="143" spans="1:10">
      <c r="A143" s="6" t="s">
        <v>101</v>
      </c>
      <c r="B143" s="147">
        <v>294</v>
      </c>
      <c r="C143" s="202">
        <f t="shared" si="42"/>
        <v>3.1578947368421151E-2</v>
      </c>
      <c r="D143" s="147">
        <v>285</v>
      </c>
      <c r="E143" s="202">
        <f t="shared" si="43"/>
        <v>-0.19491525423728817</v>
      </c>
      <c r="F143" s="147">
        <v>354</v>
      </c>
      <c r="G143" s="202">
        <f t="shared" si="44"/>
        <v>-0.28048780487804881</v>
      </c>
      <c r="H143" s="205">
        <v>492</v>
      </c>
      <c r="I143" s="209">
        <f t="shared" si="45"/>
        <v>-4.4660194174757306E-2</v>
      </c>
      <c r="J143" s="205">
        <v>515</v>
      </c>
    </row>
    <row r="144" spans="1:10">
      <c r="A144" s="6" t="s">
        <v>102</v>
      </c>
      <c r="B144" s="147">
        <v>1528</v>
      </c>
      <c r="C144" s="202">
        <f t="shared" si="42"/>
        <v>0.18818040435458783</v>
      </c>
      <c r="D144" s="147">
        <v>1286</v>
      </c>
      <c r="E144" s="202">
        <f t="shared" si="43"/>
        <v>1.579778830963674E-2</v>
      </c>
      <c r="F144" s="147">
        <v>1266</v>
      </c>
      <c r="G144" s="202">
        <f t="shared" si="44"/>
        <v>0.27878787878787881</v>
      </c>
      <c r="H144" s="205">
        <v>990</v>
      </c>
      <c r="I144" s="209">
        <f t="shared" si="45"/>
        <v>5.2072263549415521E-2</v>
      </c>
      <c r="J144" s="205">
        <v>941</v>
      </c>
    </row>
    <row r="145" spans="1:10">
      <c r="A145" s="6" t="s">
        <v>103</v>
      </c>
      <c r="B145" s="147">
        <v>2704</v>
      </c>
      <c r="C145" s="202">
        <f t="shared" si="42"/>
        <v>-0.28879537085744345</v>
      </c>
      <c r="D145" s="147">
        <v>3802</v>
      </c>
      <c r="E145" s="202">
        <f t="shared" si="43"/>
        <v>-1.5025906735751327E-2</v>
      </c>
      <c r="F145" s="147">
        <v>3860</v>
      </c>
      <c r="G145" s="202">
        <f t="shared" si="44"/>
        <v>-0.16738567730802412</v>
      </c>
      <c r="H145" s="205">
        <v>4636</v>
      </c>
      <c r="I145" s="209">
        <f t="shared" si="45"/>
        <v>-0.22513789069028911</v>
      </c>
      <c r="J145" s="205">
        <v>5983</v>
      </c>
    </row>
    <row r="146" spans="1:10">
      <c r="A146" s="6" t="s">
        <v>104</v>
      </c>
      <c r="B146" s="147">
        <v>7613</v>
      </c>
      <c r="C146" s="202">
        <f t="shared" si="42"/>
        <v>0.16602848828304495</v>
      </c>
      <c r="D146" s="147">
        <v>6529</v>
      </c>
      <c r="E146" s="202">
        <f t="shared" si="43"/>
        <v>0.25606002308580234</v>
      </c>
      <c r="F146" s="147">
        <v>5198</v>
      </c>
      <c r="G146" s="202">
        <f t="shared" si="44"/>
        <v>3.8146594767325848E-2</v>
      </c>
      <c r="H146" s="205">
        <v>5007</v>
      </c>
      <c r="I146" s="209">
        <f t="shared" si="45"/>
        <v>0.19384835479256091</v>
      </c>
      <c r="J146" s="205">
        <v>4194</v>
      </c>
    </row>
    <row r="147" spans="1:10">
      <c r="A147" s="6" t="s">
        <v>105</v>
      </c>
      <c r="B147" s="356">
        <v>1063</v>
      </c>
      <c r="C147" s="202">
        <f t="shared" si="42"/>
        <v>-8.3955223880597396E-3</v>
      </c>
      <c r="D147" s="356">
        <v>1072</v>
      </c>
      <c r="E147" s="202">
        <f t="shared" si="43"/>
        <v>-4.4563279857397498E-2</v>
      </c>
      <c r="F147" s="363">
        <v>1122</v>
      </c>
      <c r="G147" s="202">
        <f t="shared" si="44"/>
        <v>0.11089108910891099</v>
      </c>
      <c r="H147" s="206">
        <v>1010</v>
      </c>
      <c r="I147" s="209">
        <f t="shared" si="45"/>
        <v>-0.23600605143721631</v>
      </c>
      <c r="J147" s="206">
        <v>1322</v>
      </c>
    </row>
    <row r="148" spans="1:10">
      <c r="A148" s="6" t="s">
        <v>106</v>
      </c>
      <c r="B148" s="356">
        <v>935</v>
      </c>
      <c r="C148" s="202">
        <f t="shared" si="42"/>
        <v>0.19260204081632648</v>
      </c>
      <c r="D148" s="356">
        <v>784</v>
      </c>
      <c r="E148" s="202">
        <f t="shared" si="43"/>
        <v>5.0938337801608613E-2</v>
      </c>
      <c r="F148" s="363">
        <v>746</v>
      </c>
      <c r="G148" s="202">
        <f t="shared" si="44"/>
        <v>2.1917808219177992E-2</v>
      </c>
      <c r="H148" s="206">
        <v>730</v>
      </c>
      <c r="I148" s="209">
        <f t="shared" si="45"/>
        <v>-0.15116279069767447</v>
      </c>
      <c r="J148" s="206">
        <v>860</v>
      </c>
    </row>
    <row r="149" spans="1:10">
      <c r="A149" s="13" t="s">
        <v>86</v>
      </c>
      <c r="B149" s="363">
        <f>B127</f>
        <v>29132</v>
      </c>
      <c r="C149" s="202">
        <f t="shared" si="42"/>
        <v>-1.5644534549755007E-2</v>
      </c>
      <c r="D149" s="363">
        <f>D127</f>
        <v>29595</v>
      </c>
      <c r="E149" s="202">
        <f t="shared" si="43"/>
        <v>-4.105394218797298E-3</v>
      </c>
      <c r="F149" s="363">
        <f>F127</f>
        <v>29717</v>
      </c>
      <c r="G149" s="202">
        <f t="shared" si="44"/>
        <v>3.0194827705747773E-2</v>
      </c>
      <c r="H149" s="295">
        <f>H127</f>
        <v>28846</v>
      </c>
      <c r="I149" s="209">
        <f t="shared" si="45"/>
        <v>-4.9672300793377477E-3</v>
      </c>
      <c r="J149" s="295">
        <f>J127</f>
        <v>28990</v>
      </c>
    </row>
    <row r="150" spans="1:10">
      <c r="A150" s="13" t="s">
        <v>87</v>
      </c>
      <c r="B150" s="363">
        <f>B128</f>
        <v>11524</v>
      </c>
      <c r="C150" s="202">
        <f t="shared" si="42"/>
        <v>3.5399820305480612E-2</v>
      </c>
      <c r="D150" s="363">
        <f>D128</f>
        <v>11130</v>
      </c>
      <c r="E150" s="202">
        <f t="shared" si="43"/>
        <v>5.2581804425950507E-2</v>
      </c>
      <c r="F150" s="363">
        <f>F128</f>
        <v>10574</v>
      </c>
      <c r="G150" s="202">
        <f t="shared" si="44"/>
        <v>2.5208454527826163E-2</v>
      </c>
      <c r="H150" s="295">
        <f>H128</f>
        <v>10314</v>
      </c>
      <c r="I150" s="209">
        <f t="shared" si="45"/>
        <v>-3.09298279528325E-3</v>
      </c>
      <c r="J150" s="295">
        <f>J128</f>
        <v>10346</v>
      </c>
    </row>
    <row r="151" spans="1:10" s="2" customFormat="1" ht="10.5">
      <c r="A151" s="13" t="s">
        <v>107</v>
      </c>
      <c r="B151" s="362">
        <f>B129+B130+B131+B132+B133+B134+B135+B136+B137+B138</f>
        <v>20037</v>
      </c>
      <c r="C151" s="202">
        <f t="shared" si="42"/>
        <v>6.4778403656073902E-2</v>
      </c>
      <c r="D151" s="362">
        <f>D129+D130+D131+D132+D133+D134+D135+D136+D137+D138</f>
        <v>18818</v>
      </c>
      <c r="E151" s="202">
        <f t="shared" si="43"/>
        <v>5.921422942699528E-2</v>
      </c>
      <c r="F151" s="362">
        <f>F129+F130+F131+F132+F133+F134+F135+F136+F137+F138</f>
        <v>17766</v>
      </c>
      <c r="G151" s="202">
        <f t="shared" si="44"/>
        <v>2.8899056002779977E-2</v>
      </c>
      <c r="H151" s="334">
        <f>H129+H130+H131+H132+H133+H134+H135+H136+H137+H138</f>
        <v>17267</v>
      </c>
      <c r="I151" s="209">
        <f t="shared" si="45"/>
        <v>-6.9448463452748133E-4</v>
      </c>
      <c r="J151" s="334">
        <f>J129+J130+J131+J132+J133+J134+J135+J136+J137+J138</f>
        <v>17279</v>
      </c>
    </row>
    <row r="152" spans="1:10" s="2" customFormat="1" ht="10.5">
      <c r="A152" s="13" t="s">
        <v>108</v>
      </c>
      <c r="B152" s="362">
        <f>B139+B140+B141+B142+B143+B144</f>
        <v>3911</v>
      </c>
      <c r="C152" s="202">
        <f t="shared" si="42"/>
        <v>4.852546916890077E-2</v>
      </c>
      <c r="D152" s="362">
        <f>D139+D140+D141+D142+D143+D144</f>
        <v>3730</v>
      </c>
      <c r="E152" s="202">
        <f t="shared" si="43"/>
        <v>-4.87120632491711E-2</v>
      </c>
      <c r="F152" s="362">
        <f>F139+F140+F141+F142+F143+F144</f>
        <v>3921</v>
      </c>
      <c r="G152" s="202">
        <f t="shared" si="44"/>
        <v>-2.6805658972449686E-2</v>
      </c>
      <c r="H152" s="334">
        <f>H139+H140+H141+H142+H143+H144</f>
        <v>4029</v>
      </c>
      <c r="I152" s="209">
        <f t="shared" si="45"/>
        <v>-7.1872840359364254E-2</v>
      </c>
      <c r="J152" s="334">
        <f>J139+J140+J141+J142+J143+J144</f>
        <v>4341</v>
      </c>
    </row>
    <row r="153" spans="1:10">
      <c r="A153" s="13" t="s">
        <v>109</v>
      </c>
      <c r="B153" s="362">
        <f>B145+B146+B147+B148</f>
        <v>12315</v>
      </c>
      <c r="C153" s="202">
        <f t="shared" si="42"/>
        <v>1.0502994994666448E-2</v>
      </c>
      <c r="D153" s="362">
        <f>D145+D146+D147+D148</f>
        <v>12187</v>
      </c>
      <c r="E153" s="202">
        <f t="shared" si="43"/>
        <v>0.11541277686252971</v>
      </c>
      <c r="F153" s="362">
        <f>F145+F146+F147+F148</f>
        <v>10926</v>
      </c>
      <c r="G153" s="202">
        <f t="shared" si="44"/>
        <v>-4.0147588509180321E-2</v>
      </c>
      <c r="H153" s="334">
        <f>H145+H146+H147+H148</f>
        <v>11383</v>
      </c>
      <c r="I153" s="209">
        <f t="shared" si="45"/>
        <v>-7.8970790517032152E-2</v>
      </c>
      <c r="J153" s="334">
        <f>J145+J146+J147+J148</f>
        <v>12359</v>
      </c>
    </row>
    <row r="154" spans="1:10" s="2" customFormat="1" ht="10.5">
      <c r="A154" s="2" t="s">
        <v>110</v>
      </c>
      <c r="B154" s="364">
        <f>SUM(B149:B153)</f>
        <v>76919</v>
      </c>
      <c r="C154" s="154">
        <f t="shared" si="42"/>
        <v>1.9334746885767196E-2</v>
      </c>
      <c r="D154" s="364">
        <f>SUM(D149:D153)</f>
        <v>75460</v>
      </c>
      <c r="E154" s="154">
        <f t="shared" si="43"/>
        <v>3.5059804674640649E-2</v>
      </c>
      <c r="F154" s="364">
        <f>SUM(F149:F153)</f>
        <v>72904</v>
      </c>
      <c r="G154" s="154">
        <f t="shared" si="44"/>
        <v>1.4824816603794533E-2</v>
      </c>
      <c r="H154" s="333">
        <f>SUM(H149:H153)</f>
        <v>71839</v>
      </c>
      <c r="I154" s="208">
        <f t="shared" si="45"/>
        <v>-2.0132305803723605E-2</v>
      </c>
      <c r="J154" s="333">
        <f>SUM(J149:J153)</f>
        <v>73315</v>
      </c>
    </row>
    <row r="155" spans="1:10" ht="10.5">
      <c r="B155" s="365"/>
      <c r="C155" s="202"/>
      <c r="D155" s="365"/>
      <c r="E155" s="202"/>
      <c r="F155" s="365"/>
      <c r="G155" s="217"/>
      <c r="H155" s="20"/>
      <c r="I155" s="208"/>
      <c r="J155" s="20"/>
    </row>
    <row r="156" spans="1:10">
      <c r="A156" s="6" t="s">
        <v>111</v>
      </c>
      <c r="B156" s="207">
        <v>32480</v>
      </c>
      <c r="C156" s="202">
        <f t="shared" ref="C156" si="46">IF((+B156/D156)&lt;0,"n.m.",IF(B156&lt;0,(+B156/D156-1)*-1,(+B156/D156-1)))</f>
        <v>2.5835386267449856E-2</v>
      </c>
      <c r="D156" s="207">
        <v>31662</v>
      </c>
      <c r="E156" s="202">
        <f t="shared" si="43"/>
        <v>3.5924617196702036E-2</v>
      </c>
      <c r="F156" s="366">
        <v>30564</v>
      </c>
      <c r="G156" s="202">
        <f t="shared" si="44"/>
        <v>7.4003795066413636E-2</v>
      </c>
      <c r="H156" s="207">
        <v>28458</v>
      </c>
      <c r="I156" s="209">
        <f>IF((+H156/J156)&lt;0,"n.m.",IF(H156&lt;0,(+H156/J156-1)*-1,(+H156/J156-1)))</f>
        <v>-3.2922387223311977E-3</v>
      </c>
      <c r="J156" s="207">
        <v>28552</v>
      </c>
    </row>
    <row r="157" spans="1:10">
      <c r="A157" s="6" t="s">
        <v>112</v>
      </c>
      <c r="B157" s="207">
        <v>44439</v>
      </c>
      <c r="C157" s="202">
        <f>IF((+B157/D157)&lt;0,"n.m.",IF(B157&lt;0,(+B157/D157-1)*-1,(+B157/D157-1)))</f>
        <v>1.463537147814975E-2</v>
      </c>
      <c r="D157" s="207">
        <v>43798</v>
      </c>
      <c r="E157" s="202">
        <f>IF((+D157/F157)&lt;0,"n.m.",IF(D157&lt;0,(+D157/F157-1)*-1,(+D157/F157-1)))</f>
        <v>3.4435521965044957E-2</v>
      </c>
      <c r="F157" s="366">
        <v>42340</v>
      </c>
      <c r="G157" s="202">
        <f t="shared" si="44"/>
        <v>-2.399668057444504E-2</v>
      </c>
      <c r="H157" s="207">
        <v>43381</v>
      </c>
      <c r="I157" s="209">
        <f>IF((+H157/J157)&lt;0,"n.m.",IF(H157&lt;0,(+H157/J157-1)*-1,(+H157/J157-1)))</f>
        <v>-3.087371266447736E-2</v>
      </c>
      <c r="J157" s="207">
        <v>44763</v>
      </c>
    </row>
    <row r="158" spans="1:10">
      <c r="B158" s="367"/>
      <c r="C158" s="409"/>
      <c r="D158" s="367"/>
      <c r="E158" s="368"/>
      <c r="F158" s="367"/>
      <c r="G158" s="21"/>
      <c r="H158" s="335"/>
      <c r="I158" s="335"/>
      <c r="J158" s="335"/>
    </row>
    <row r="159" spans="1:10" s="2" customFormat="1" ht="10.5">
      <c r="A159" s="2" t="s">
        <v>1</v>
      </c>
      <c r="B159" s="369"/>
      <c r="C159" s="369"/>
      <c r="D159" s="369"/>
      <c r="E159" s="369"/>
      <c r="F159" s="370"/>
      <c r="G159" s="10"/>
      <c r="H159" s="332"/>
      <c r="I159" s="332"/>
      <c r="J159" s="332"/>
    </row>
    <row r="160" spans="1:10" s="2" customFormat="1" ht="10.5">
      <c r="A160" s="6" t="s">
        <v>86</v>
      </c>
      <c r="B160" s="360">
        <v>7818.59</v>
      </c>
      <c r="C160" s="202">
        <f>IF((+B160/D160)&lt;0,"n.m.",IF(B160&lt;0,(+B160/D160-1)*-1,(+B160/D160-1)))</f>
        <v>-7.3711539804358628E-3</v>
      </c>
      <c r="D160" s="360">
        <v>7876.6500000000005</v>
      </c>
      <c r="E160" s="202">
        <f>IF((+D160/F160)&lt;0,"n.m.",IF(D160&lt;0,(+D160/F160-1)*-1,(+D160/F160-1)))</f>
        <v>0.13176275175548136</v>
      </c>
      <c r="F160" s="360">
        <v>6959.63</v>
      </c>
      <c r="G160" s="202">
        <f t="shared" ref="G160:G217" si="47">IF((+F160/H160)&lt;0,"n.m.",IF(F160&lt;0,(+F160/H160-1)*-1,(+F160/H160-1)))</f>
        <v>0.10999768738187732</v>
      </c>
      <c r="H160" s="211">
        <v>6269.9499999999989</v>
      </c>
      <c r="I160" s="209">
        <f t="shared" ref="I160:I187" si="48">IF((+H160/J160)&lt;0,"n.m.",IF(H160&lt;0,(+H160/J160-1)*-1,(+H160/J160-1)))</f>
        <v>2.2122373167989817E-3</v>
      </c>
      <c r="J160" s="211">
        <v>6256.11</v>
      </c>
    </row>
    <row r="161" spans="1:10" s="2" customFormat="1" ht="10.5">
      <c r="A161" s="6" t="s">
        <v>87</v>
      </c>
      <c r="B161" s="357">
        <v>2678.66</v>
      </c>
      <c r="C161" s="202">
        <f t="shared" ref="C161:C187" si="49">IF((+B161/D161)&lt;0,"n.m.",IF(B161&lt;0,(+B161/D161-1)*-1,(+B161/D161-1)))</f>
        <v>5.3968129057643255E-2</v>
      </c>
      <c r="D161" s="357">
        <v>2541.4999999999995</v>
      </c>
      <c r="E161" s="202">
        <f t="shared" ref="E161:E217" si="50">IF((+D161/F161)&lt;0,"n.m.",IF(D161&lt;0,(+D161/F161-1)*-1,(+D161/F161-1)))</f>
        <v>8.922050983148444E-2</v>
      </c>
      <c r="F161" s="357">
        <v>2333.3200000000002</v>
      </c>
      <c r="G161" s="202">
        <f t="shared" si="47"/>
        <v>0.11183539659395203</v>
      </c>
      <c r="H161" s="211">
        <v>2098.6200000000003</v>
      </c>
      <c r="I161" s="209">
        <f t="shared" si="48"/>
        <v>4.7748854207231295E-2</v>
      </c>
      <c r="J161" s="211">
        <v>2002.98</v>
      </c>
    </row>
    <row r="162" spans="1:10" s="2" customFormat="1" ht="10.5">
      <c r="A162" s="9" t="s">
        <v>88</v>
      </c>
      <c r="B162" s="357">
        <v>1129.22</v>
      </c>
      <c r="C162" s="202">
        <f t="shared" si="49"/>
        <v>0.15775875326805755</v>
      </c>
      <c r="D162" s="357">
        <v>975.35</v>
      </c>
      <c r="E162" s="202">
        <f t="shared" si="50"/>
        <v>0.14982434630891484</v>
      </c>
      <c r="F162" s="357">
        <v>848.25999999999988</v>
      </c>
      <c r="G162" s="202">
        <f t="shared" si="47"/>
        <v>9.6311422441647032E-2</v>
      </c>
      <c r="H162" s="211">
        <v>773.7399999999999</v>
      </c>
      <c r="I162" s="209">
        <f t="shared" si="48"/>
        <v>-0.17753731025979003</v>
      </c>
      <c r="J162" s="211">
        <v>940.76</v>
      </c>
    </row>
    <row r="163" spans="1:10" s="2" customFormat="1" ht="10.5">
      <c r="A163" s="9" t="s">
        <v>89</v>
      </c>
      <c r="B163" s="357">
        <v>782.78</v>
      </c>
      <c r="C163" s="202">
        <f t="shared" si="49"/>
        <v>0.10806296359209555</v>
      </c>
      <c r="D163" s="357">
        <v>706.44</v>
      </c>
      <c r="E163" s="202">
        <f t="shared" si="50"/>
        <v>0.12356262425447317</v>
      </c>
      <c r="F163" s="357">
        <v>628.75</v>
      </c>
      <c r="G163" s="202">
        <f t="shared" si="47"/>
        <v>-2.8704643491500592E-3</v>
      </c>
      <c r="H163" s="211">
        <v>630.56000000000006</v>
      </c>
      <c r="I163" s="209">
        <f t="shared" si="48"/>
        <v>-0.17530735024849586</v>
      </c>
      <c r="J163" s="211">
        <v>764.6</v>
      </c>
    </row>
    <row r="164" spans="1:10">
      <c r="A164" s="9" t="s">
        <v>90</v>
      </c>
      <c r="B164" s="357">
        <v>847.82</v>
      </c>
      <c r="C164" s="202">
        <f t="shared" si="49"/>
        <v>0.18760593368726286</v>
      </c>
      <c r="D164" s="357">
        <v>713.89</v>
      </c>
      <c r="E164" s="202">
        <f t="shared" si="50"/>
        <v>0.29541454208931373</v>
      </c>
      <c r="F164" s="357">
        <v>551.09</v>
      </c>
      <c r="G164" s="202">
        <f t="shared" si="47"/>
        <v>0.22978220119610815</v>
      </c>
      <c r="H164" s="211">
        <v>448.12</v>
      </c>
      <c r="I164" s="209">
        <f t="shared" si="48"/>
        <v>-0.24591929458486184</v>
      </c>
      <c r="J164" s="211">
        <v>594.26</v>
      </c>
    </row>
    <row r="165" spans="1:10">
      <c r="A165" s="9" t="s">
        <v>132</v>
      </c>
      <c r="B165" s="357">
        <v>71.419999999999987</v>
      </c>
      <c r="C165" s="202">
        <f t="shared" si="49"/>
        <v>-7.7975729408727323E-2</v>
      </c>
      <c r="D165" s="357">
        <v>77.460000000000008</v>
      </c>
      <c r="E165" s="202">
        <f t="shared" si="50"/>
        <v>-0.45873803368038568</v>
      </c>
      <c r="F165" s="357">
        <v>143.11000000000001</v>
      </c>
      <c r="G165" s="202">
        <f t="shared" si="47"/>
        <v>3.0606366124153794E-2</v>
      </c>
      <c r="H165" s="211">
        <v>138.86000000000001</v>
      </c>
      <c r="I165" s="209">
        <f t="shared" si="48"/>
        <v>-0.39728286818004244</v>
      </c>
      <c r="J165" s="211">
        <v>230.39</v>
      </c>
    </row>
    <row r="166" spans="1:10">
      <c r="A166" s="9" t="s">
        <v>91</v>
      </c>
      <c r="B166" s="357">
        <v>369.03999999999996</v>
      </c>
      <c r="C166" s="202">
        <f t="shared" si="49"/>
        <v>-0.28270714688332144</v>
      </c>
      <c r="D166" s="357">
        <v>514.49</v>
      </c>
      <c r="E166" s="202">
        <f t="shared" si="50"/>
        <v>-2.531022070664013E-2</v>
      </c>
      <c r="F166" s="357">
        <v>527.85</v>
      </c>
      <c r="G166" s="202">
        <f t="shared" si="47"/>
        <v>0.14461358313817319</v>
      </c>
      <c r="H166" s="211">
        <v>461.16</v>
      </c>
      <c r="I166" s="209">
        <f t="shared" si="48"/>
        <v>-0.35622748973950913</v>
      </c>
      <c r="J166" s="211">
        <v>716.34</v>
      </c>
    </row>
    <row r="167" spans="1:10">
      <c r="A167" s="9" t="s">
        <v>92</v>
      </c>
      <c r="B167" s="357">
        <v>225.5</v>
      </c>
      <c r="C167" s="202">
        <f t="shared" si="49"/>
        <v>0.14252419313978804</v>
      </c>
      <c r="D167" s="357">
        <v>197.37000000000003</v>
      </c>
      <c r="E167" s="202">
        <f t="shared" si="50"/>
        <v>7.9645533614135067E-2</v>
      </c>
      <c r="F167" s="357">
        <v>182.81</v>
      </c>
      <c r="G167" s="202">
        <f t="shared" si="47"/>
        <v>-0.27945291868668953</v>
      </c>
      <c r="H167" s="211">
        <v>253.71</v>
      </c>
      <c r="I167" s="209">
        <f t="shared" si="48"/>
        <v>5.1734858848402121E-2</v>
      </c>
      <c r="J167" s="211">
        <v>241.23</v>
      </c>
    </row>
    <row r="168" spans="1:10">
      <c r="A168" s="9" t="s">
        <v>93</v>
      </c>
      <c r="B168" s="357">
        <v>152.48000000000002</v>
      </c>
      <c r="C168" s="202">
        <f t="shared" si="49"/>
        <v>-6.3448191143050114E-2</v>
      </c>
      <c r="D168" s="357">
        <v>162.81</v>
      </c>
      <c r="E168" s="202">
        <f t="shared" si="50"/>
        <v>0.35629790069976663</v>
      </c>
      <c r="F168" s="357">
        <v>120.04</v>
      </c>
      <c r="G168" s="202">
        <f t="shared" si="47"/>
        <v>0.537594466504419</v>
      </c>
      <c r="H168" s="211">
        <v>78.070000000000007</v>
      </c>
      <c r="I168" s="209">
        <f t="shared" si="48"/>
        <v>0.14741328630217509</v>
      </c>
      <c r="J168" s="211">
        <v>68.040000000000006</v>
      </c>
    </row>
    <row r="169" spans="1:10">
      <c r="A169" s="9" t="s">
        <v>94</v>
      </c>
      <c r="B169" s="357">
        <v>48.71</v>
      </c>
      <c r="C169" s="202">
        <f t="shared" si="49"/>
        <v>-0.28724026924202517</v>
      </c>
      <c r="D169" s="357">
        <v>68.34</v>
      </c>
      <c r="E169" s="202">
        <f t="shared" si="50"/>
        <v>0.28700564971751419</v>
      </c>
      <c r="F169" s="357">
        <v>53.1</v>
      </c>
      <c r="G169" s="202">
        <f t="shared" si="47"/>
        <v>-0.18483266809947807</v>
      </c>
      <c r="H169" s="211">
        <v>65.14</v>
      </c>
      <c r="I169" s="209">
        <f t="shared" si="48"/>
        <v>-0.33814265393212761</v>
      </c>
      <c r="J169" s="211">
        <v>98.42</v>
      </c>
    </row>
    <row r="170" spans="1:10">
      <c r="A170" s="9" t="s">
        <v>95</v>
      </c>
      <c r="B170" s="357">
        <v>148.11000000000001</v>
      </c>
      <c r="C170" s="202">
        <f t="shared" si="49"/>
        <v>0.33396379356930561</v>
      </c>
      <c r="D170" s="357">
        <v>111.03</v>
      </c>
      <c r="E170" s="202">
        <f t="shared" si="50"/>
        <v>-1.612760301284899E-2</v>
      </c>
      <c r="F170" s="357">
        <v>112.85000000000001</v>
      </c>
      <c r="G170" s="202">
        <f t="shared" si="47"/>
        <v>0.26400089605734767</v>
      </c>
      <c r="H170" s="211">
        <v>89.28</v>
      </c>
      <c r="I170" s="209">
        <f t="shared" si="48"/>
        <v>0.93163132842925145</v>
      </c>
      <c r="J170" s="211">
        <v>46.22</v>
      </c>
    </row>
    <row r="171" spans="1:10">
      <c r="A171" s="9" t="s">
        <v>96</v>
      </c>
      <c r="B171" s="357">
        <v>41.86</v>
      </c>
      <c r="C171" s="202">
        <f t="shared" si="49"/>
        <v>-5.7007125890735644E-3</v>
      </c>
      <c r="D171" s="357">
        <v>42.099999999999994</v>
      </c>
      <c r="E171" s="202">
        <f t="shared" si="50"/>
        <v>-6.7965463803409509E-2</v>
      </c>
      <c r="F171" s="357">
        <v>45.17</v>
      </c>
      <c r="G171" s="202">
        <f t="shared" si="47"/>
        <v>0.67918215613382937</v>
      </c>
      <c r="H171" s="211">
        <v>26.899999999999995</v>
      </c>
      <c r="I171" s="209">
        <f t="shared" si="48"/>
        <v>-0.23601249644987232</v>
      </c>
      <c r="J171" s="211">
        <v>35.21</v>
      </c>
    </row>
    <row r="172" spans="1:10">
      <c r="A172" s="9" t="s">
        <v>97</v>
      </c>
      <c r="B172" s="357">
        <v>231.95</v>
      </c>
      <c r="C172" s="202">
        <f t="shared" si="49"/>
        <v>-0.15101936239522729</v>
      </c>
      <c r="D172" s="357">
        <v>273.21000000000004</v>
      </c>
      <c r="E172" s="202">
        <f t="shared" si="50"/>
        <v>-0.147071678321678</v>
      </c>
      <c r="F172" s="357">
        <v>320.31999999999994</v>
      </c>
      <c r="G172" s="202">
        <f t="shared" si="47"/>
        <v>-0.15335412591848618</v>
      </c>
      <c r="H172" s="211">
        <v>378.34</v>
      </c>
      <c r="I172" s="209">
        <f t="shared" si="48"/>
        <v>0.10396545183974792</v>
      </c>
      <c r="J172" s="211">
        <v>342.71</v>
      </c>
    </row>
    <row r="173" spans="1:10">
      <c r="A173" s="6" t="s">
        <v>98</v>
      </c>
      <c r="B173" s="358">
        <v>317.74</v>
      </c>
      <c r="C173" s="202">
        <f t="shared" si="49"/>
        <v>-9.413844223970802E-2</v>
      </c>
      <c r="D173" s="358">
        <v>350.76</v>
      </c>
      <c r="E173" s="202">
        <f t="shared" si="50"/>
        <v>0.19111654441727777</v>
      </c>
      <c r="F173" s="358">
        <v>294.48</v>
      </c>
      <c r="G173" s="202">
        <f t="shared" si="47"/>
        <v>-4.6774350176415291E-2</v>
      </c>
      <c r="H173" s="336">
        <v>308.93</v>
      </c>
      <c r="I173" s="209">
        <f t="shared" si="48"/>
        <v>2.4066032419531203E-2</v>
      </c>
      <c r="J173" s="336">
        <v>301.67</v>
      </c>
    </row>
    <row r="174" spans="1:10">
      <c r="A174" s="6" t="s">
        <v>99</v>
      </c>
      <c r="B174" s="357">
        <v>205.27</v>
      </c>
      <c r="C174" s="202">
        <f t="shared" si="49"/>
        <v>0.15100370079623193</v>
      </c>
      <c r="D174" s="357">
        <v>178.34</v>
      </c>
      <c r="E174" s="202">
        <f t="shared" si="50"/>
        <v>0.1010680990306847</v>
      </c>
      <c r="F174" s="357">
        <v>161.97</v>
      </c>
      <c r="G174" s="202">
        <f t="shared" si="47"/>
        <v>-9.5493382476126598E-2</v>
      </c>
      <c r="H174" s="211">
        <v>179.07</v>
      </c>
      <c r="I174" s="209">
        <f t="shared" si="48"/>
        <v>-0.25294117647058822</v>
      </c>
      <c r="J174" s="211">
        <v>239.7</v>
      </c>
    </row>
    <row r="175" spans="1:10" s="2" customFormat="1" ht="10.5">
      <c r="A175" s="6" t="s">
        <v>100</v>
      </c>
      <c r="B175" s="357">
        <v>-5.7799999999999994</v>
      </c>
      <c r="C175" s="202" t="str">
        <f>IF((+B175/D175)&lt;0,"n.m.",IF(B175&lt;0,(+B175/D175-1)*-1,(+B175/D175-1)))</f>
        <v>n.m.</v>
      </c>
      <c r="D175" s="357">
        <v>74.239999999999995</v>
      </c>
      <c r="E175" s="202">
        <f t="shared" si="50"/>
        <v>0.1153846153846152</v>
      </c>
      <c r="F175" s="357">
        <v>66.56</v>
      </c>
      <c r="G175" s="202">
        <f t="shared" si="47"/>
        <v>-0.18441367479475568</v>
      </c>
      <c r="H175" s="211">
        <v>81.610000000000014</v>
      </c>
      <c r="I175" s="209">
        <f t="shared" si="48"/>
        <v>-0.5654419595314164</v>
      </c>
      <c r="J175" s="211">
        <v>187.8</v>
      </c>
    </row>
    <row r="176" spans="1:10">
      <c r="A176" s="6" t="s">
        <v>101</v>
      </c>
      <c r="B176" s="357">
        <v>99.490000000000009</v>
      </c>
      <c r="C176" s="202">
        <f t="shared" si="49"/>
        <v>8.4832624577472426E-2</v>
      </c>
      <c r="D176" s="357">
        <v>91.710000000000008</v>
      </c>
      <c r="E176" s="202">
        <f t="shared" si="50"/>
        <v>-0.42483537158983997</v>
      </c>
      <c r="F176" s="357">
        <v>159.44999999999999</v>
      </c>
      <c r="G176" s="202">
        <f t="shared" si="47"/>
        <v>-0.31972353769358774</v>
      </c>
      <c r="H176" s="211">
        <v>234.39000000000001</v>
      </c>
      <c r="I176" s="209">
        <f t="shared" si="48"/>
        <v>6.8907333090113099E-2</v>
      </c>
      <c r="J176" s="211">
        <v>219.28</v>
      </c>
    </row>
    <row r="177" spans="1:10">
      <c r="A177" s="6" t="s">
        <v>102</v>
      </c>
      <c r="B177" s="357">
        <v>348.57</v>
      </c>
      <c r="C177" s="202">
        <f t="shared" si="49"/>
        <v>0.26646804490789533</v>
      </c>
      <c r="D177" s="357">
        <v>275.22999999999996</v>
      </c>
      <c r="E177" s="202">
        <f t="shared" si="50"/>
        <v>-6.9276565036986426E-3</v>
      </c>
      <c r="F177" s="357">
        <v>277.15000000000003</v>
      </c>
      <c r="G177" s="202">
        <f t="shared" si="47"/>
        <v>0.84189539443078387</v>
      </c>
      <c r="H177" s="211">
        <v>150.47</v>
      </c>
      <c r="I177" s="209">
        <f t="shared" si="48"/>
        <v>-0.1014034040011943</v>
      </c>
      <c r="J177" s="211">
        <v>167.45</v>
      </c>
    </row>
    <row r="178" spans="1:10">
      <c r="A178" s="6" t="s">
        <v>103</v>
      </c>
      <c r="B178" s="357">
        <v>147.95999999999998</v>
      </c>
      <c r="C178" s="202">
        <f t="shared" si="49"/>
        <v>-0.28063010501750296</v>
      </c>
      <c r="D178" s="357">
        <v>205.67999999999998</v>
      </c>
      <c r="E178" s="202">
        <f t="shared" si="50"/>
        <v>-0.32035819317318182</v>
      </c>
      <c r="F178" s="357">
        <v>302.63</v>
      </c>
      <c r="G178" s="202">
        <f t="shared" si="47"/>
        <v>0.13493343333958374</v>
      </c>
      <c r="H178" s="211">
        <v>266.64999999999998</v>
      </c>
      <c r="I178" s="209">
        <f t="shared" si="48"/>
        <v>-0.1521193042704061</v>
      </c>
      <c r="J178" s="211">
        <v>314.49</v>
      </c>
    </row>
    <row r="179" spans="1:10">
      <c r="A179" s="6" t="s">
        <v>104</v>
      </c>
      <c r="B179" s="357">
        <v>713.51</v>
      </c>
      <c r="C179" s="202">
        <f t="shared" si="49"/>
        <v>6.9698060028185127E-2</v>
      </c>
      <c r="D179" s="357">
        <v>667.02</v>
      </c>
      <c r="E179" s="202">
        <f t="shared" si="50"/>
        <v>0.73045192756706268</v>
      </c>
      <c r="F179" s="357">
        <v>385.46</v>
      </c>
      <c r="G179" s="202">
        <f t="shared" si="47"/>
        <v>0.10653078800057392</v>
      </c>
      <c r="H179" s="211">
        <v>348.35</v>
      </c>
      <c r="I179" s="209">
        <f t="shared" si="48"/>
        <v>0.12396347562352794</v>
      </c>
      <c r="J179" s="211">
        <v>309.93</v>
      </c>
    </row>
    <row r="180" spans="1:10">
      <c r="A180" s="6" t="s">
        <v>105</v>
      </c>
      <c r="B180" s="359">
        <v>66.010000000000005</v>
      </c>
      <c r="C180" s="202">
        <f t="shared" si="49"/>
        <v>0.15543497286889552</v>
      </c>
      <c r="D180" s="359">
        <v>57.13</v>
      </c>
      <c r="E180" s="202">
        <f t="shared" si="50"/>
        <v>0.19920235096557493</v>
      </c>
      <c r="F180" s="359">
        <v>47.640000000000008</v>
      </c>
      <c r="G180" s="202">
        <f t="shared" si="47"/>
        <v>-0.38938733658036384</v>
      </c>
      <c r="H180" s="212">
        <v>78.02</v>
      </c>
      <c r="I180" s="209">
        <f t="shared" si="48"/>
        <v>-0.35183185179031329</v>
      </c>
      <c r="J180" s="212">
        <v>120.37</v>
      </c>
    </row>
    <row r="181" spans="1:10">
      <c r="A181" s="6" t="s">
        <v>106</v>
      </c>
      <c r="B181" s="359">
        <v>179.06</v>
      </c>
      <c r="C181" s="202">
        <f t="shared" si="49"/>
        <v>0.1044223771047923</v>
      </c>
      <c r="D181" s="359">
        <v>162.13000000000002</v>
      </c>
      <c r="E181" s="202">
        <f t="shared" si="50"/>
        <v>0.63355163727959729</v>
      </c>
      <c r="F181" s="359">
        <v>99.25</v>
      </c>
      <c r="G181" s="202">
        <f t="shared" si="47"/>
        <v>-0.24288656648104356</v>
      </c>
      <c r="H181" s="212">
        <v>131.09</v>
      </c>
      <c r="I181" s="209">
        <f t="shared" si="48"/>
        <v>0.42799564270152524</v>
      </c>
      <c r="J181" s="212">
        <v>91.8</v>
      </c>
    </row>
    <row r="182" spans="1:10">
      <c r="A182" s="140" t="s">
        <v>86</v>
      </c>
      <c r="B182" s="371">
        <f>B160</f>
        <v>7818.59</v>
      </c>
      <c r="C182" s="202">
        <f t="shared" si="49"/>
        <v>-7.3711539804358628E-3</v>
      </c>
      <c r="D182" s="371">
        <f>D160</f>
        <v>7876.6500000000005</v>
      </c>
      <c r="E182" s="202">
        <f t="shared" si="50"/>
        <v>0.13176275175548136</v>
      </c>
      <c r="F182" s="371">
        <f>F160</f>
        <v>6959.63</v>
      </c>
      <c r="G182" s="202">
        <f t="shared" si="47"/>
        <v>0.10999768738187732</v>
      </c>
      <c r="H182" s="338">
        <f>H160</f>
        <v>6269.9499999999989</v>
      </c>
      <c r="I182" s="209">
        <f t="shared" si="48"/>
        <v>2.2122373167989817E-3</v>
      </c>
      <c r="J182" s="338">
        <f>J160</f>
        <v>6256.11</v>
      </c>
    </row>
    <row r="183" spans="1:10">
      <c r="A183" s="140" t="s">
        <v>87</v>
      </c>
      <c r="B183" s="371">
        <f>B161</f>
        <v>2678.66</v>
      </c>
      <c r="C183" s="202">
        <f t="shared" si="49"/>
        <v>5.3968129057643255E-2</v>
      </c>
      <c r="D183" s="371">
        <f>D161</f>
        <v>2541.4999999999995</v>
      </c>
      <c r="E183" s="202">
        <f t="shared" si="50"/>
        <v>8.922050983148444E-2</v>
      </c>
      <c r="F183" s="371">
        <f>F161</f>
        <v>2333.3200000000002</v>
      </c>
      <c r="G183" s="202">
        <f t="shared" si="47"/>
        <v>0.11183539659395203</v>
      </c>
      <c r="H183" s="338">
        <f>H161</f>
        <v>2098.6200000000003</v>
      </c>
      <c r="I183" s="209">
        <f t="shared" si="48"/>
        <v>4.7748854207231295E-2</v>
      </c>
      <c r="J183" s="338">
        <f>J161</f>
        <v>2002.98</v>
      </c>
    </row>
    <row r="184" spans="1:10" s="2" customFormat="1" ht="10.5">
      <c r="A184" s="140" t="s">
        <v>107</v>
      </c>
      <c r="B184" s="358">
        <f>B162+B163+B164+B165+B166+B167+B168+B169+B170+B171</f>
        <v>3816.9400000000005</v>
      </c>
      <c r="C184" s="202">
        <f t="shared" si="49"/>
        <v>6.9386542944235297E-2</v>
      </c>
      <c r="D184" s="358">
        <f>D162+D163+D164+D165+D166+D167+D168+D169+D170+D171</f>
        <v>3569.28</v>
      </c>
      <c r="E184" s="202">
        <f t="shared" si="50"/>
        <v>0.11087664914426587</v>
      </c>
      <c r="F184" s="358">
        <f>F162+F163+F164+F165+F166+F167+F168+F169+F170+F171</f>
        <v>3213.0299999999997</v>
      </c>
      <c r="G184" s="202">
        <f t="shared" si="47"/>
        <v>8.3455289761729556E-2</v>
      </c>
      <c r="H184" s="339">
        <f>H162+H163+H164+H165+H166+H167+H168+H169+H170+H171</f>
        <v>2965.5400000000004</v>
      </c>
      <c r="I184" s="209">
        <f t="shared" si="48"/>
        <v>-0.20611328694916553</v>
      </c>
      <c r="J184" s="339">
        <f>J162+J163+J164+J165+J166+J167+J168+J169+J170+J171</f>
        <v>3735.47</v>
      </c>
    </row>
    <row r="185" spans="1:10" s="2" customFormat="1" ht="10.5">
      <c r="A185" s="140" t="s">
        <v>108</v>
      </c>
      <c r="B185" s="358">
        <f>B172+B173+B174+B175+B176+B177</f>
        <v>1197.24</v>
      </c>
      <c r="C185" s="202">
        <f t="shared" si="49"/>
        <v>-3.7193704814674877E-2</v>
      </c>
      <c r="D185" s="358">
        <f>D172+D173+D174+D175+D176+D177</f>
        <v>1243.49</v>
      </c>
      <c r="E185" s="202">
        <f t="shared" si="50"/>
        <v>-2.8470306969912484E-2</v>
      </c>
      <c r="F185" s="358">
        <f>F172+F173+F174+F175+F176+F177</f>
        <v>1279.93</v>
      </c>
      <c r="G185" s="202">
        <f t="shared" si="47"/>
        <v>-3.9675572662269842E-2</v>
      </c>
      <c r="H185" s="339">
        <f>H172+H173+H174+H175+H176+H177</f>
        <v>1332.81</v>
      </c>
      <c r="I185" s="209">
        <f t="shared" si="48"/>
        <v>-8.6246494950672159E-2</v>
      </c>
      <c r="J185" s="339">
        <f>J172+J173+J174+J175+J176+J177</f>
        <v>1458.61</v>
      </c>
    </row>
    <row r="186" spans="1:10">
      <c r="A186" s="140" t="s">
        <v>109</v>
      </c>
      <c r="B186" s="358">
        <f>B178+B179+B180+B181</f>
        <v>1106.54</v>
      </c>
      <c r="C186" s="202">
        <f t="shared" si="49"/>
        <v>1.3352137440931777E-2</v>
      </c>
      <c r="D186" s="358">
        <f>D178+D179+D180+D181</f>
        <v>1091.96</v>
      </c>
      <c r="E186" s="202">
        <f t="shared" si="50"/>
        <v>0.30776785072696367</v>
      </c>
      <c r="F186" s="358">
        <f>F178+F179+F180+F181</f>
        <v>834.9799999999999</v>
      </c>
      <c r="G186" s="202">
        <f t="shared" si="47"/>
        <v>1.3189986773610274E-2</v>
      </c>
      <c r="H186" s="339">
        <f>H178+H179+H180+H181</f>
        <v>824.11</v>
      </c>
      <c r="I186" s="209">
        <f t="shared" si="48"/>
        <v>-1.4917701622060964E-2</v>
      </c>
      <c r="J186" s="339">
        <f>J178+J179+J180+J181</f>
        <v>836.59</v>
      </c>
    </row>
    <row r="187" spans="1:10" s="2" customFormat="1" ht="10.5">
      <c r="A187" s="2" t="s">
        <v>113</v>
      </c>
      <c r="B187" s="372">
        <f>SUM(B182:B186)</f>
        <v>16617.97</v>
      </c>
      <c r="C187" s="154">
        <f t="shared" si="49"/>
        <v>1.8078304808955226E-2</v>
      </c>
      <c r="D187" s="372">
        <f>SUM(D182:D186)</f>
        <v>16322.880000000001</v>
      </c>
      <c r="E187" s="154">
        <f t="shared" si="50"/>
        <v>0.11640809827582332</v>
      </c>
      <c r="F187" s="372">
        <f>SUM(F182:F186)</f>
        <v>14620.89</v>
      </c>
      <c r="G187" s="154">
        <f t="shared" si="47"/>
        <v>8.3748979877740881E-2</v>
      </c>
      <c r="H187" s="210">
        <f>SUM(H182:H186)</f>
        <v>13491.03</v>
      </c>
      <c r="I187" s="208">
        <f t="shared" si="48"/>
        <v>-5.5895270459405899E-2</v>
      </c>
      <c r="J187" s="210">
        <f>SUM(J182:J186)</f>
        <v>14289.76</v>
      </c>
    </row>
    <row r="188" spans="1:10">
      <c r="B188" s="140"/>
      <c r="C188" s="202"/>
      <c r="D188" s="140"/>
      <c r="E188" s="202"/>
      <c r="F188" s="140"/>
      <c r="G188" s="202"/>
    </row>
    <row r="189" spans="1:10" ht="10.5">
      <c r="A189" s="5" t="s">
        <v>2</v>
      </c>
      <c r="B189" s="373"/>
      <c r="C189" s="202"/>
      <c r="D189" s="373"/>
      <c r="E189" s="202"/>
      <c r="F189" s="373"/>
      <c r="G189" s="202"/>
      <c r="H189" s="3"/>
      <c r="I189" s="3"/>
      <c r="J189" s="3"/>
    </row>
    <row r="190" spans="1:10" s="2" customFormat="1" ht="10.5">
      <c r="A190" s="6" t="s">
        <v>86</v>
      </c>
      <c r="B190" s="393">
        <v>7617.47</v>
      </c>
      <c r="C190" s="202">
        <f t="shared" ref="C190:C217" si="51">IF((+B190/D190)&lt;0,"n.m.",IF(B190&lt;0,(+B190/D190-1)*-1,(+B190/D190-1)))</f>
        <v>6.1197963829271673E-2</v>
      </c>
      <c r="D190" s="357">
        <v>7178.1799999999994</v>
      </c>
      <c r="E190" s="202">
        <f t="shared" si="50"/>
        <v>3.5961899263962982E-2</v>
      </c>
      <c r="F190" s="357">
        <v>6929</v>
      </c>
      <c r="G190" s="202">
        <f t="shared" si="47"/>
        <v>6.7183753055312101E-2</v>
      </c>
      <c r="H190" s="211">
        <v>6492.79</v>
      </c>
      <c r="I190" s="217">
        <f t="shared" ref="I190:I217" si="52">IF((+H190/J190)&lt;0,"n.m.",IF(H190&lt;0,(+H190/J190-1)*-1,(+H190/J190-1)))</f>
        <v>0.33153752132825831</v>
      </c>
      <c r="J190" s="211">
        <v>4876.16</v>
      </c>
    </row>
    <row r="191" spans="1:10" s="2" customFormat="1" ht="10.5">
      <c r="A191" s="6" t="s">
        <v>87</v>
      </c>
      <c r="B191" s="393">
        <v>1884.6</v>
      </c>
      <c r="C191" s="202">
        <f t="shared" si="51"/>
        <v>-8.3245367825541372E-2</v>
      </c>
      <c r="D191" s="357">
        <v>2055.73</v>
      </c>
      <c r="E191" s="202">
        <f t="shared" si="50"/>
        <v>3.5043023367050674E-2</v>
      </c>
      <c r="F191" s="357">
        <v>1986.1299999999997</v>
      </c>
      <c r="G191" s="202">
        <f t="shared" si="47"/>
        <v>6.9899858325656927E-2</v>
      </c>
      <c r="H191" s="211">
        <v>1856.37</v>
      </c>
      <c r="I191" s="217">
        <f t="shared" si="52"/>
        <v>7.113924342788569E-2</v>
      </c>
      <c r="J191" s="211">
        <v>1733.08</v>
      </c>
    </row>
    <row r="192" spans="1:10" s="2" customFormat="1" ht="10.5">
      <c r="A192" s="9" t="s">
        <v>88</v>
      </c>
      <c r="B192" s="393">
        <v>1498.1200000000001</v>
      </c>
      <c r="C192" s="202">
        <f t="shared" si="51"/>
        <v>-8.1961185633659395E-2</v>
      </c>
      <c r="D192" s="357">
        <v>1631.87</v>
      </c>
      <c r="E192" s="202">
        <f t="shared" si="50"/>
        <v>0.15280878239000817</v>
      </c>
      <c r="F192" s="357">
        <v>1415.56</v>
      </c>
      <c r="G192" s="202">
        <f t="shared" si="47"/>
        <v>0.6217306128060307</v>
      </c>
      <c r="H192" s="211">
        <v>872.87</v>
      </c>
      <c r="I192" s="217">
        <f t="shared" si="52"/>
        <v>2.8054884871326902E-2</v>
      </c>
      <c r="J192" s="211">
        <v>849.05</v>
      </c>
    </row>
    <row r="193" spans="1:10" s="2" customFormat="1" ht="10.5">
      <c r="A193" s="9" t="s">
        <v>89</v>
      </c>
      <c r="B193" s="393">
        <v>761.00999999999988</v>
      </c>
      <c r="C193" s="202">
        <f t="shared" si="51"/>
        <v>0.67656583904298184</v>
      </c>
      <c r="D193" s="357">
        <v>453.90999999999997</v>
      </c>
      <c r="E193" s="202">
        <f t="shared" si="50"/>
        <v>0.20614885871442601</v>
      </c>
      <c r="F193" s="357">
        <v>376.33000000000004</v>
      </c>
      <c r="G193" s="202">
        <f t="shared" si="47"/>
        <v>0.31111730481134403</v>
      </c>
      <c r="H193" s="211">
        <v>287.02999999999997</v>
      </c>
      <c r="I193" s="217">
        <f t="shared" si="52"/>
        <v>-0.11248879131752276</v>
      </c>
      <c r="J193" s="211">
        <v>323.41000000000003</v>
      </c>
    </row>
    <row r="194" spans="1:10">
      <c r="A194" s="9" t="s">
        <v>90</v>
      </c>
      <c r="B194" s="393">
        <v>649</v>
      </c>
      <c r="C194" s="202">
        <f t="shared" si="51"/>
        <v>-0.32865772922873215</v>
      </c>
      <c r="D194" s="357">
        <v>966.71999999999991</v>
      </c>
      <c r="E194" s="202">
        <f t="shared" si="50"/>
        <v>-0.21064106018665962</v>
      </c>
      <c r="F194" s="357">
        <v>1224.69</v>
      </c>
      <c r="G194" s="202">
        <f t="shared" si="47"/>
        <v>3.5670122315035799</v>
      </c>
      <c r="H194" s="211">
        <v>268.16000000000003</v>
      </c>
      <c r="I194" s="217">
        <f t="shared" si="52"/>
        <v>0.96195493122622189</v>
      </c>
      <c r="J194" s="211">
        <v>136.68</v>
      </c>
    </row>
    <row r="195" spans="1:10">
      <c r="A195" s="9" t="s">
        <v>132</v>
      </c>
      <c r="B195" s="393">
        <v>102.78</v>
      </c>
      <c r="C195" s="202">
        <f t="shared" si="51"/>
        <v>0.2303088340914532</v>
      </c>
      <c r="D195" s="357">
        <v>83.54</v>
      </c>
      <c r="E195" s="202">
        <f t="shared" si="50"/>
        <v>-0.55235237380773761</v>
      </c>
      <c r="F195" s="357">
        <v>186.61999999999998</v>
      </c>
      <c r="G195" s="202">
        <f t="shared" si="47"/>
        <v>-0.22631731686082679</v>
      </c>
      <c r="H195" s="211">
        <v>241.21</v>
      </c>
      <c r="I195" s="217">
        <f t="shared" si="52"/>
        <v>-0.38121135938021089</v>
      </c>
      <c r="J195" s="211">
        <v>389.81</v>
      </c>
    </row>
    <row r="196" spans="1:10">
      <c r="A196" s="9" t="s">
        <v>91</v>
      </c>
      <c r="B196" s="393">
        <v>223.51000000000002</v>
      </c>
      <c r="C196" s="202">
        <f t="shared" si="51"/>
        <v>-0.14609360076408762</v>
      </c>
      <c r="D196" s="357">
        <v>261.74999999999994</v>
      </c>
      <c r="E196" s="202">
        <f t="shared" si="50"/>
        <v>-0.45033599328013452</v>
      </c>
      <c r="F196" s="357">
        <v>476.2</v>
      </c>
      <c r="G196" s="202">
        <f t="shared" si="47"/>
        <v>-7.5411618515066725E-2</v>
      </c>
      <c r="H196" s="211">
        <v>515.04</v>
      </c>
      <c r="I196" s="217">
        <f t="shared" si="52"/>
        <v>0.4500408232213744</v>
      </c>
      <c r="J196" s="211">
        <v>355.19</v>
      </c>
    </row>
    <row r="197" spans="1:10">
      <c r="A197" s="9" t="s">
        <v>92</v>
      </c>
      <c r="B197" s="393">
        <v>281.78000000000003</v>
      </c>
      <c r="C197" s="202">
        <f t="shared" si="51"/>
        <v>0.50870054077207261</v>
      </c>
      <c r="D197" s="357">
        <v>186.77</v>
      </c>
      <c r="E197" s="202">
        <f t="shared" si="50"/>
        <v>0.35596050529984025</v>
      </c>
      <c r="F197" s="357">
        <v>137.74</v>
      </c>
      <c r="G197" s="202">
        <f t="shared" si="47"/>
        <v>-0.49244601665561205</v>
      </c>
      <c r="H197" s="211">
        <v>271.38</v>
      </c>
      <c r="I197" s="217">
        <f t="shared" si="52"/>
        <v>-0.30939535830618892</v>
      </c>
      <c r="J197" s="211">
        <v>392.96</v>
      </c>
    </row>
    <row r="198" spans="1:10">
      <c r="A198" s="9" t="s">
        <v>93</v>
      </c>
      <c r="B198" s="393">
        <v>187.86</v>
      </c>
      <c r="C198" s="202">
        <f t="shared" si="51"/>
        <v>1.0293831694933568</v>
      </c>
      <c r="D198" s="357">
        <v>92.57</v>
      </c>
      <c r="E198" s="202">
        <f t="shared" si="50"/>
        <v>-0.3935403563941301</v>
      </c>
      <c r="F198" s="357">
        <v>152.64000000000001</v>
      </c>
      <c r="G198" s="202">
        <f t="shared" si="47"/>
        <v>0.44040766254600383</v>
      </c>
      <c r="H198" s="211">
        <v>105.97</v>
      </c>
      <c r="I198" s="217">
        <f t="shared" si="52"/>
        <v>0.934465133260314</v>
      </c>
      <c r="J198" s="211">
        <v>54.78</v>
      </c>
    </row>
    <row r="199" spans="1:10">
      <c r="A199" s="9" t="s">
        <v>94</v>
      </c>
      <c r="B199" s="393">
        <v>38.65</v>
      </c>
      <c r="C199" s="202">
        <f t="shared" si="51"/>
        <v>-0.22607128554265121</v>
      </c>
      <c r="D199" s="357">
        <v>49.94</v>
      </c>
      <c r="E199" s="202">
        <f t="shared" si="50"/>
        <v>-0.11704384724186712</v>
      </c>
      <c r="F199" s="357">
        <v>56.56</v>
      </c>
      <c r="G199" s="202">
        <f t="shared" si="47"/>
        <v>0.11602209944751385</v>
      </c>
      <c r="H199" s="211">
        <v>50.68</v>
      </c>
      <c r="I199" s="217">
        <f t="shared" si="52"/>
        <v>-0.10633045318286016</v>
      </c>
      <c r="J199" s="211">
        <v>56.71</v>
      </c>
    </row>
    <row r="200" spans="1:10">
      <c r="A200" s="9" t="s">
        <v>95</v>
      </c>
      <c r="B200" s="393">
        <v>194.01</v>
      </c>
      <c r="C200" s="202">
        <f t="shared" si="51"/>
        <v>0.80172734026745895</v>
      </c>
      <c r="D200" s="357">
        <v>107.68</v>
      </c>
      <c r="E200" s="202">
        <f t="shared" si="50"/>
        <v>0.46145494028230183</v>
      </c>
      <c r="F200" s="357">
        <v>73.680000000000007</v>
      </c>
      <c r="G200" s="202">
        <f t="shared" si="47"/>
        <v>-0.11303719754423969</v>
      </c>
      <c r="H200" s="211">
        <v>83.07</v>
      </c>
      <c r="I200" s="217">
        <f t="shared" si="52"/>
        <v>-0.11354177782520547</v>
      </c>
      <c r="J200" s="211">
        <v>93.71</v>
      </c>
    </row>
    <row r="201" spans="1:10">
      <c r="A201" s="9" t="s">
        <v>96</v>
      </c>
      <c r="B201" s="393">
        <v>91.81</v>
      </c>
      <c r="C201" s="202">
        <f t="shared" si="51"/>
        <v>-0.129432960364119</v>
      </c>
      <c r="D201" s="357">
        <v>105.46</v>
      </c>
      <c r="E201" s="202">
        <f t="shared" si="50"/>
        <v>0.10777310924369732</v>
      </c>
      <c r="F201" s="357">
        <v>95.2</v>
      </c>
      <c r="G201" s="202">
        <f t="shared" si="47"/>
        <v>1.1849896717925179</v>
      </c>
      <c r="H201" s="211">
        <v>43.57</v>
      </c>
      <c r="I201" s="217">
        <f t="shared" si="52"/>
        <v>0.62756817332835269</v>
      </c>
      <c r="J201" s="211">
        <v>26.77</v>
      </c>
    </row>
    <row r="202" spans="1:10">
      <c r="A202" s="9" t="s">
        <v>97</v>
      </c>
      <c r="B202" s="393">
        <v>150.88</v>
      </c>
      <c r="C202" s="202">
        <f t="shared" si="51"/>
        <v>-0.16544056640300908</v>
      </c>
      <c r="D202" s="357">
        <v>180.79000000000002</v>
      </c>
      <c r="E202" s="202">
        <f t="shared" si="50"/>
        <v>-8.270333350246073E-2</v>
      </c>
      <c r="F202" s="357">
        <v>197.09</v>
      </c>
      <c r="G202" s="202">
        <f t="shared" si="47"/>
        <v>-0.20222626998583282</v>
      </c>
      <c r="H202" s="211">
        <v>247.05</v>
      </c>
      <c r="I202" s="217">
        <f t="shared" si="52"/>
        <v>-0.19632400780741699</v>
      </c>
      <c r="J202" s="211">
        <v>307.39999999999998</v>
      </c>
    </row>
    <row r="203" spans="1:10">
      <c r="A203" s="6" t="s">
        <v>98</v>
      </c>
      <c r="B203" s="339">
        <v>438.71</v>
      </c>
      <c r="C203" s="202">
        <f t="shared" si="51"/>
        <v>-0.22649293862510356</v>
      </c>
      <c r="D203" s="358">
        <v>567.16999999999996</v>
      </c>
      <c r="E203" s="202">
        <f t="shared" si="50"/>
        <v>-9.5695450973544149E-3</v>
      </c>
      <c r="F203" s="358">
        <v>572.65</v>
      </c>
      <c r="G203" s="202">
        <f t="shared" si="47"/>
        <v>0.39104136808608825</v>
      </c>
      <c r="H203" s="336">
        <v>411.67</v>
      </c>
      <c r="I203" s="217">
        <f t="shared" si="52"/>
        <v>0.18496876888978431</v>
      </c>
      <c r="J203" s="336">
        <v>347.41</v>
      </c>
    </row>
    <row r="204" spans="1:10">
      <c r="A204" s="6" t="s">
        <v>99</v>
      </c>
      <c r="B204" s="393">
        <v>171.57</v>
      </c>
      <c r="C204" s="202">
        <f t="shared" si="51"/>
        <v>-0.55987378790210873</v>
      </c>
      <c r="D204" s="357">
        <v>389.82</v>
      </c>
      <c r="E204" s="202">
        <f t="shared" si="50"/>
        <v>1.8418371345716666E-2</v>
      </c>
      <c r="F204" s="357">
        <v>382.77000000000004</v>
      </c>
      <c r="G204" s="202">
        <f t="shared" si="47"/>
        <v>1.7437069721698117E-2</v>
      </c>
      <c r="H204" s="211">
        <v>376.21</v>
      </c>
      <c r="I204" s="217">
        <f t="shared" si="52"/>
        <v>0.35507690091128485</v>
      </c>
      <c r="J204" s="211">
        <v>277.63</v>
      </c>
    </row>
    <row r="205" spans="1:10" s="2" customFormat="1" ht="10.5">
      <c r="A205" s="6" t="s">
        <v>100</v>
      </c>
      <c r="B205" s="393">
        <v>116.47999999999999</v>
      </c>
      <c r="C205" s="202">
        <f t="shared" si="51"/>
        <v>8.4848484848483174E-3</v>
      </c>
      <c r="D205" s="357">
        <v>115.5</v>
      </c>
      <c r="E205" s="202">
        <f t="shared" si="50"/>
        <v>-0.57710896309314585</v>
      </c>
      <c r="F205" s="357">
        <v>273.12</v>
      </c>
      <c r="G205" s="202">
        <f t="shared" si="47"/>
        <v>-0.71645990137555149</v>
      </c>
      <c r="H205" s="211">
        <v>963.25</v>
      </c>
      <c r="I205" s="217">
        <f t="shared" si="52"/>
        <v>-4.7663773159591138E-2</v>
      </c>
      <c r="J205" s="211">
        <v>1011.46</v>
      </c>
    </row>
    <row r="206" spans="1:10">
      <c r="A206" s="6" t="s">
        <v>101</v>
      </c>
      <c r="B206" s="393">
        <v>150.51</v>
      </c>
      <c r="C206" s="202">
        <f t="shared" si="51"/>
        <v>-0.28776263486655307</v>
      </c>
      <c r="D206" s="357">
        <v>211.32</v>
      </c>
      <c r="E206" s="202">
        <f t="shared" si="50"/>
        <v>2.3612215683155715</v>
      </c>
      <c r="F206" s="357">
        <v>62.870000000000005</v>
      </c>
      <c r="G206" s="202">
        <f t="shared" si="47"/>
        <v>-0.60679216961661142</v>
      </c>
      <c r="H206" s="211">
        <v>159.88999999999999</v>
      </c>
      <c r="I206" s="217">
        <f t="shared" si="52"/>
        <v>-0.50335466235944593</v>
      </c>
      <c r="J206" s="211">
        <v>321.94</v>
      </c>
    </row>
    <row r="207" spans="1:10">
      <c r="A207" s="6" t="s">
        <v>102</v>
      </c>
      <c r="B207" s="393">
        <v>1036.58</v>
      </c>
      <c r="C207" s="202">
        <f t="shared" si="51"/>
        <v>1.4039424860853429</v>
      </c>
      <c r="D207" s="357">
        <v>431.20000000000005</v>
      </c>
      <c r="E207" s="202">
        <f t="shared" si="50"/>
        <v>0.97580645161290369</v>
      </c>
      <c r="F207" s="357">
        <v>218.23999999999998</v>
      </c>
      <c r="G207" s="202">
        <f t="shared" si="47"/>
        <v>-0.13259141494435622</v>
      </c>
      <c r="H207" s="211">
        <v>251.6</v>
      </c>
      <c r="I207" s="217">
        <f t="shared" si="52"/>
        <v>-4.8447486857531974E-2</v>
      </c>
      <c r="J207" s="211">
        <v>264.41000000000003</v>
      </c>
    </row>
    <row r="208" spans="1:10">
      <c r="A208" s="6" t="s">
        <v>103</v>
      </c>
      <c r="B208" s="393">
        <v>280.61</v>
      </c>
      <c r="C208" s="202">
        <f t="shared" si="51"/>
        <v>0.62427645288261191</v>
      </c>
      <c r="D208" s="357">
        <v>172.76</v>
      </c>
      <c r="E208" s="202">
        <f t="shared" si="50"/>
        <v>-0.47255297062954149</v>
      </c>
      <c r="F208" s="357">
        <v>327.54000000000002</v>
      </c>
      <c r="G208" s="202">
        <f t="shared" si="47"/>
        <v>-0.18795091111937523</v>
      </c>
      <c r="H208" s="211">
        <v>403.35</v>
      </c>
      <c r="I208" s="217">
        <f t="shared" si="52"/>
        <v>-0.19444388967665904</v>
      </c>
      <c r="J208" s="211">
        <v>500.71</v>
      </c>
    </row>
    <row r="209" spans="1:10">
      <c r="A209" s="6" t="s">
        <v>104</v>
      </c>
      <c r="B209" s="393">
        <v>1056.3</v>
      </c>
      <c r="C209" s="202">
        <f t="shared" si="51"/>
        <v>-6.8674560699706455E-2</v>
      </c>
      <c r="D209" s="357">
        <v>1134.19</v>
      </c>
      <c r="E209" s="202">
        <f t="shared" si="50"/>
        <v>0.44291639102335756</v>
      </c>
      <c r="F209" s="357">
        <v>786.04000000000008</v>
      </c>
      <c r="G209" s="202">
        <f t="shared" si="47"/>
        <v>0.14168687998373253</v>
      </c>
      <c r="H209" s="211">
        <v>688.49</v>
      </c>
      <c r="I209" s="217">
        <f t="shared" si="52"/>
        <v>0.50832493537221235</v>
      </c>
      <c r="J209" s="211">
        <v>456.46</v>
      </c>
    </row>
    <row r="210" spans="1:10">
      <c r="A210" s="6" t="s">
        <v>105</v>
      </c>
      <c r="B210" s="394">
        <v>69.33</v>
      </c>
      <c r="C210" s="202">
        <f t="shared" si="51"/>
        <v>-0.44544872820348747</v>
      </c>
      <c r="D210" s="359">
        <v>125.02</v>
      </c>
      <c r="E210" s="202">
        <f t="shared" si="50"/>
        <v>-0.15822784810126589</v>
      </c>
      <c r="F210" s="359">
        <v>148.52000000000001</v>
      </c>
      <c r="G210" s="202">
        <f t="shared" si="47"/>
        <v>1.7092302079533019</v>
      </c>
      <c r="H210" s="212">
        <v>54.82</v>
      </c>
      <c r="I210" s="217">
        <f t="shared" si="52"/>
        <v>-0.40309233449477355</v>
      </c>
      <c r="J210" s="212">
        <v>91.84</v>
      </c>
    </row>
    <row r="211" spans="1:10">
      <c r="A211" s="6" t="s">
        <v>106</v>
      </c>
      <c r="B211" s="394">
        <v>409.90999999999997</v>
      </c>
      <c r="C211" s="202">
        <f t="shared" si="51"/>
        <v>3.039062892765565E-2</v>
      </c>
      <c r="D211" s="359">
        <v>397.82</v>
      </c>
      <c r="E211" s="202">
        <f t="shared" si="50"/>
        <v>-0.22403838651790586</v>
      </c>
      <c r="F211" s="359">
        <v>512.67999999999995</v>
      </c>
      <c r="G211" s="202">
        <f t="shared" si="47"/>
        <v>1.9925286014475834</v>
      </c>
      <c r="H211" s="212">
        <v>171.32</v>
      </c>
      <c r="I211" s="217">
        <f t="shared" si="52"/>
        <v>-0.35837609078311672</v>
      </c>
      <c r="J211" s="212">
        <v>267.01</v>
      </c>
    </row>
    <row r="212" spans="1:10">
      <c r="A212" s="13" t="s">
        <v>86</v>
      </c>
      <c r="B212" s="371">
        <f>B190</f>
        <v>7617.47</v>
      </c>
      <c r="C212" s="202">
        <f t="shared" si="51"/>
        <v>6.1197963829271673E-2</v>
      </c>
      <c r="D212" s="371">
        <f>D190</f>
        <v>7178.1799999999994</v>
      </c>
      <c r="E212" s="202">
        <f t="shared" si="50"/>
        <v>3.5961899263962982E-2</v>
      </c>
      <c r="F212" s="371">
        <f>F190</f>
        <v>6929</v>
      </c>
      <c r="G212" s="202">
        <f t="shared" si="47"/>
        <v>6.7183753055312101E-2</v>
      </c>
      <c r="H212" s="337">
        <f>H190</f>
        <v>6492.79</v>
      </c>
      <c r="I212" s="217">
        <f t="shared" si="52"/>
        <v>0.33153752132825831</v>
      </c>
      <c r="J212" s="337">
        <f>J190</f>
        <v>4876.16</v>
      </c>
    </row>
    <row r="213" spans="1:10">
      <c r="A213" s="13" t="s">
        <v>87</v>
      </c>
      <c r="B213" s="371">
        <f>B191</f>
        <v>1884.6</v>
      </c>
      <c r="C213" s="202">
        <f t="shared" si="51"/>
        <v>-8.3245367825541372E-2</v>
      </c>
      <c r="D213" s="371">
        <f>D191</f>
        <v>2055.73</v>
      </c>
      <c r="E213" s="202">
        <f t="shared" si="50"/>
        <v>3.5043023367050674E-2</v>
      </c>
      <c r="F213" s="371">
        <f>F191</f>
        <v>1986.1299999999997</v>
      </c>
      <c r="G213" s="202">
        <f t="shared" si="47"/>
        <v>6.9899858325656927E-2</v>
      </c>
      <c r="H213" s="337">
        <f>H191</f>
        <v>1856.37</v>
      </c>
      <c r="I213" s="217">
        <f t="shared" si="52"/>
        <v>7.113924342788569E-2</v>
      </c>
      <c r="J213" s="337">
        <f>J191</f>
        <v>1733.08</v>
      </c>
    </row>
    <row r="214" spans="1:10" s="2" customFormat="1" ht="10.5">
      <c r="A214" s="13" t="s">
        <v>107</v>
      </c>
      <c r="B214" s="358">
        <f>B192+B193+B194+B195+B196+B197+B198+B199+B200+B201</f>
        <v>4028.5300000000011</v>
      </c>
      <c r="C214" s="202">
        <f t="shared" si="51"/>
        <v>2.2415048944092186E-2</v>
      </c>
      <c r="D214" s="358">
        <f>D192+D193+D194+D195+D196+D197+D198+D199+D200+D201</f>
        <v>3940.2099999999996</v>
      </c>
      <c r="E214" s="202">
        <f t="shared" si="50"/>
        <v>-6.0785846749395689E-2</v>
      </c>
      <c r="F214" s="358">
        <f>F192+F193+F194+F195+F196+F197+F198+F199+F200+F201</f>
        <v>4195.2199999999993</v>
      </c>
      <c r="G214" s="202">
        <f t="shared" si="47"/>
        <v>0.53167237438754533</v>
      </c>
      <c r="H214" s="336">
        <f>H192+H193+H194+H195+H196+H197+H198+H199+H200+H201</f>
        <v>2738.9800000000005</v>
      </c>
      <c r="I214" s="217">
        <f t="shared" si="52"/>
        <v>2.2362237642167049E-2</v>
      </c>
      <c r="J214" s="336">
        <f>J192+J193+J194+J195+J196+J197+J198+J199+J200+J201</f>
        <v>2679.07</v>
      </c>
    </row>
    <row r="215" spans="1:10" s="2" customFormat="1" ht="10.5">
      <c r="A215" s="13" t="s">
        <v>108</v>
      </c>
      <c r="B215" s="358">
        <f>B202+B203+B204+B205+B206+B207</f>
        <v>2064.7299999999996</v>
      </c>
      <c r="C215" s="202">
        <f t="shared" si="51"/>
        <v>8.9107500791222538E-2</v>
      </c>
      <c r="D215" s="358">
        <f>D202+D203+D204+D205+D206+D207</f>
        <v>1895.8</v>
      </c>
      <c r="E215" s="202">
        <f t="shared" si="50"/>
        <v>0.11077258399053158</v>
      </c>
      <c r="F215" s="358">
        <f>F202+F203+F204+F205+F206+F207</f>
        <v>1706.74</v>
      </c>
      <c r="G215" s="202">
        <f t="shared" si="47"/>
        <v>-0.29171214315653182</v>
      </c>
      <c r="H215" s="336">
        <f>H202+H203+H204+H205+H206+H207</f>
        <v>2409.67</v>
      </c>
      <c r="I215" s="217">
        <f t="shared" si="52"/>
        <v>-4.7655370022725019E-2</v>
      </c>
      <c r="J215" s="336">
        <f>J202+J203+J204+J205+J206+J207</f>
        <v>2530.25</v>
      </c>
    </row>
    <row r="216" spans="1:10">
      <c r="A216" s="13" t="s">
        <v>109</v>
      </c>
      <c r="B216" s="358">
        <f>B208+B209+B210+B211</f>
        <v>1816.1499999999996</v>
      </c>
      <c r="C216" s="202">
        <f t="shared" si="51"/>
        <v>-7.4544073363611574E-3</v>
      </c>
      <c r="D216" s="358">
        <f>D208+D209+D210+D211</f>
        <v>1829.79</v>
      </c>
      <c r="E216" s="202">
        <f t="shared" si="50"/>
        <v>3.0995390978036497E-2</v>
      </c>
      <c r="F216" s="358">
        <f>F208+F209+F210+F211</f>
        <v>1774.7800000000002</v>
      </c>
      <c r="G216" s="202">
        <f t="shared" si="47"/>
        <v>0.34659099531100646</v>
      </c>
      <c r="H216" s="336">
        <f>H208+H209+H210+H211</f>
        <v>1317.98</v>
      </c>
      <c r="I216" s="217">
        <f t="shared" si="52"/>
        <v>1.4893390677952478E-3</v>
      </c>
      <c r="J216" s="336">
        <f>J208+J209+J210+J211</f>
        <v>1316.02</v>
      </c>
    </row>
    <row r="217" spans="1:10" s="2" customFormat="1" ht="10.5">
      <c r="A217" s="22" t="s">
        <v>114</v>
      </c>
      <c r="B217" s="374">
        <f>SUM(B212:B216)</f>
        <v>17411.48</v>
      </c>
      <c r="C217" s="154">
        <f t="shared" si="51"/>
        <v>3.0282768165844187E-2</v>
      </c>
      <c r="D217" s="374">
        <f>SUM(D212:D216)</f>
        <v>16899.71</v>
      </c>
      <c r="E217" s="154">
        <f t="shared" si="50"/>
        <v>1.8553665138408171E-2</v>
      </c>
      <c r="F217" s="374">
        <f>SUM(F212:F216)</f>
        <v>16591.87</v>
      </c>
      <c r="G217" s="154">
        <f t="shared" si="47"/>
        <v>0.11987750906296601</v>
      </c>
      <c r="H217" s="213">
        <f>SUM(H212:H216)</f>
        <v>14815.789999999999</v>
      </c>
      <c r="I217" s="218">
        <f t="shared" si="52"/>
        <v>0.1279987635691433</v>
      </c>
      <c r="J217" s="213">
        <f>SUM(J212:J216)</f>
        <v>13134.58</v>
      </c>
    </row>
    <row r="218" spans="1:10" s="8" customFormat="1">
      <c r="B218" s="23"/>
      <c r="C218" s="23"/>
      <c r="D218" s="23"/>
      <c r="E218" s="23"/>
      <c r="F218" s="23"/>
      <c r="G218" s="23"/>
      <c r="H218" s="141"/>
      <c r="I218" s="141"/>
      <c r="J218" s="141"/>
    </row>
    <row r="219" spans="1:10" s="8" customFormat="1"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s="8" customFormat="1"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s="8" customFormat="1"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s="8" customFormat="1"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s="8" customFormat="1"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s="8" customFormat="1"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2:10" s="8" customFormat="1"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2:10" s="8" customFormat="1"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2:10" s="8" customFormat="1"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2:10" s="8" customFormat="1"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2:10" s="8" customFormat="1"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2:10" s="8" customFormat="1"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2:10" s="8" customFormat="1"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2:10" s="8" customFormat="1"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2:10" s="8" customFormat="1"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2:10" s="8" customFormat="1"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2:10" s="8" customFormat="1"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2:10" s="8" customFormat="1"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2:10" s="8" customFormat="1"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2:10" s="8" customFormat="1"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2:10" s="8" customFormat="1"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2:10" s="8" customFormat="1"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2:10" s="8" customFormat="1"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2:10" s="8" customFormat="1"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2:10" s="8" customFormat="1"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2:10" s="8" customFormat="1"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2:10" s="8" customFormat="1"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2:10" s="8" customFormat="1"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2:10" s="8" customFormat="1"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2:10" s="8" customFormat="1"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2:10" s="8" customFormat="1"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2:10" s="8" customFormat="1"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2:10" s="8" customFormat="1"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2:10" s="8" customFormat="1"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2:10" s="8" customFormat="1"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2:10" s="8" customFormat="1"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2:10" s="8" customFormat="1"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2:10" s="8" customFormat="1"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2:10" s="8" customFormat="1"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2:10" s="8" customFormat="1"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2:10" s="8" customFormat="1"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2:10" s="8" customFormat="1"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2:10" s="8" customFormat="1"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2:10" s="8" customFormat="1"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2:10" s="8" customFormat="1"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2:10" s="8" customFormat="1"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2:10" s="8" customFormat="1"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2:10" s="8" customFormat="1"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2:10" s="8" customFormat="1"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2:10" s="8" customFormat="1"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2:10" s="8" customFormat="1"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2:10" s="8" customFormat="1"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2:10" s="8" customFormat="1"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2:10" s="8" customFormat="1"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2:10" s="8" customFormat="1"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2:10" s="8" customFormat="1"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2:10" s="8" customFormat="1"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2:10" s="8" customFormat="1"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2:10" s="8" customFormat="1"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2:10" s="8" customFormat="1"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2:10" s="8" customFormat="1"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2:10" s="8" customFormat="1"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2:10" s="8" customFormat="1"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2:10" s="8" customFormat="1"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2:10" s="8" customFormat="1"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2:10" s="8" customFormat="1"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2:10" s="8" customFormat="1"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2:10" s="8" customFormat="1"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2:10" s="8" customFormat="1"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2:10" s="8" customFormat="1"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2:10" s="8" customFormat="1"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2:10" s="8" customFormat="1"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2:10" s="8" customFormat="1"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2:10" s="8" customFormat="1"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2:10" s="8" customFormat="1"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2:10" s="8" customFormat="1"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2:10" s="8" customFormat="1"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2:10" s="8" customFormat="1"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2:10" s="8" customFormat="1"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2:10" s="8" customFormat="1"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2:10" s="8" customFormat="1"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2:10" s="8" customFormat="1"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2:10" s="8" customFormat="1"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2:10" s="8" customFormat="1"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2:10" s="8" customFormat="1"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2:10" s="8" customFormat="1"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2:10" s="8" customFormat="1"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2:10" s="8" customFormat="1"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2:10" s="8" customFormat="1"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2:10" s="8" customFormat="1"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2:10" s="8" customFormat="1"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2:10" s="8" customFormat="1"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2:10" s="8" customFormat="1"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2:10" s="8" customFormat="1"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2:10" s="8" customFormat="1"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2:10" s="8" customFormat="1"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2:10" s="8" customFormat="1"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2:10" s="8" customFormat="1"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2:10" s="8" customFormat="1"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2:10" s="8" customFormat="1"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2:10" s="8" customFormat="1"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2:10" s="8" customFormat="1"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2:10" s="8" customFormat="1"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2:10" s="8" customFormat="1"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2:10" s="8" customFormat="1"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2:10" s="8" customFormat="1"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2:10" s="8" customFormat="1"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2:10" s="8" customFormat="1"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2:10" s="8" customFormat="1"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2:10" s="8" customFormat="1"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2:10" s="8" customFormat="1"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2:10" s="8" customFormat="1"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2:10" s="8" customFormat="1"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2:10" s="8" customFormat="1"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2:10" s="8" customFormat="1"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2:10" s="8" customFormat="1"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2:10" s="8" customFormat="1"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2:10" s="8" customFormat="1"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2:10" s="8" customFormat="1"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2:10" s="8" customFormat="1"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2:10" s="8" customFormat="1"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2:10" s="8" customFormat="1"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2:10" s="8" customFormat="1"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2:10" s="8" customFormat="1"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2:10" s="8" customFormat="1"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2:10" s="8" customFormat="1"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2:10" s="8" customFormat="1"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2:10" s="8" customFormat="1"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2:10" s="8" customFormat="1"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2:10" s="8" customFormat="1"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2:10" s="8" customFormat="1"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2:10" s="8" customFormat="1"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2:10" s="8" customFormat="1"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2:10" s="8" customFormat="1"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2:10" s="8" customFormat="1"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2:10" s="8" customFormat="1"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2:10" s="8" customFormat="1"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2:10" s="8" customFormat="1"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2:10" s="8" customFormat="1"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2:10" s="8" customFormat="1"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2:10" s="8" customFormat="1"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2:10" s="8" customFormat="1"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2:10" s="8" customFormat="1"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2:10" s="8" customFormat="1"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2:10" s="8" customFormat="1"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2:10" s="8" customFormat="1"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2:10" s="8" customFormat="1"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2:10" s="8" customFormat="1"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2:10" s="8" customFormat="1"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2:10" s="8" customFormat="1"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2:10" s="8" customFormat="1"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2:10" s="8" customFormat="1"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2:10" s="8" customFormat="1"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2:10" s="8" customFormat="1"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2:10" s="8" customFormat="1"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2:10" s="8" customFormat="1"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2:10" s="8" customFormat="1"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2:10" s="8" customFormat="1"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2:10" s="8" customFormat="1"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2:10" s="8" customFormat="1"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2:10" s="8" customFormat="1"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2:10" s="8" customFormat="1"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2:10" s="8" customFormat="1"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2:10" s="8" customFormat="1"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2:10" s="8" customFormat="1"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2:10" s="8" customFormat="1"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2:10" s="8" customFormat="1"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2:10" s="8" customFormat="1"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2:10" s="8" customFormat="1"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2:10" s="8" customFormat="1"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2:10" s="8" customFormat="1"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2:10" s="8" customFormat="1"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2:10" s="8" customFormat="1"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2:10" s="8" customFormat="1"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2:10" s="8" customFormat="1"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2:10" s="8" customFormat="1"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2:10" s="8" customFormat="1"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2:10" s="8" customFormat="1"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2:10" s="8" customFormat="1"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2:10" s="8" customFormat="1"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2:10" s="8" customFormat="1"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2:10" s="8" customFormat="1"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2:10" s="8" customFormat="1"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2:10" s="8" customFormat="1"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2:10" s="8" customFormat="1"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2:10" s="8" customFormat="1"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2:10" s="8" customFormat="1"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2:10" s="8" customFormat="1"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2:10" s="8" customFormat="1"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2:10" s="8" customFormat="1"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2:10" s="8" customFormat="1"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2:10" s="8" customFormat="1"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2:10" s="8" customFormat="1"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2:10" s="8" customFormat="1"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2:10" s="8" customFormat="1"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2:10" s="8" customFormat="1"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2:10" s="8" customFormat="1"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2:10" s="8" customFormat="1"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2:10" s="8" customFormat="1"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2:10" s="8" customFormat="1"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2:10" s="8" customFormat="1"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2:10" s="8" customFormat="1"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2:10" s="8" customFormat="1"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2:10" s="8" customFormat="1"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2:10" s="8" customFormat="1"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2:10" s="8" customFormat="1"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2:10" s="8" customFormat="1"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2:10" s="8" customFormat="1"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2:10" s="8" customFormat="1"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2:10" s="8" customFormat="1"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2:10" s="8" customFormat="1"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2:10" s="8" customFormat="1"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2:10" s="8" customFormat="1"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2:10" s="8" customFormat="1"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2:10" s="8" customFormat="1"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2:10" s="8" customFormat="1"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2:10" s="8" customFormat="1"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2:10" s="8" customFormat="1"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2:10" s="8" customFormat="1"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2:10" s="8" customFormat="1"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2:10" s="8" customFormat="1"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2:10" s="8" customFormat="1"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2:10" s="8" customFormat="1"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2:10" s="8" customFormat="1"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2:10" s="8" customFormat="1"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2:10" s="8" customFormat="1"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2:10" s="8" customFormat="1"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2:10" s="8" customFormat="1"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2:10" s="8" customFormat="1"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2:10" s="8" customFormat="1"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2:10" s="8" customFormat="1"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2:10" s="8" customFormat="1"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2:10" s="8" customFormat="1"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2:10" s="8" customFormat="1"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2:10" s="8" customFormat="1"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2:10" s="8" customFormat="1"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2:10" s="8" customFormat="1"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2:10" s="8" customFormat="1"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2:10" s="8" customFormat="1"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2:10" s="8" customFormat="1"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2:10" s="8" customFormat="1"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2:10" s="8" customFormat="1"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2:10" s="8" customFormat="1"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2:10" s="8" customFormat="1"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2:10" s="8" customFormat="1"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2:10" s="8" customFormat="1"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2:10" s="8" customFormat="1"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2:10" s="8" customFormat="1"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2:10" s="8" customFormat="1"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2:10" s="8" customFormat="1"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2:10" s="8" customFormat="1"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2:10" s="8" customFormat="1"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2:10" s="8" customFormat="1"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2:10" s="8" customFormat="1"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2:10" s="8" customFormat="1"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2:10" s="8" customFormat="1"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2:10" s="8" customFormat="1"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2:10" s="8" customFormat="1"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2:10" s="8" customFormat="1"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2:10" s="8" customFormat="1"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2:10" s="8" customFormat="1"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2:10" s="8" customFormat="1"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2:10" s="8" customFormat="1"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2:10" s="8" customFormat="1"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2:10" s="8" customFormat="1"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2:10" s="8" customFormat="1"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2:10" s="8" customFormat="1"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2:10" s="8" customFormat="1"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2:10" s="8" customFormat="1"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2:10" s="8" customFormat="1"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2:10" s="8" customFormat="1"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2:10" s="8" customFormat="1"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2:10" s="8" customFormat="1"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2:10" s="8" customFormat="1"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2:10" s="8" customFormat="1"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2:10" s="8" customFormat="1"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2:10" s="8" customFormat="1"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2:10" s="8" customFormat="1"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2:10" s="8" customFormat="1"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2:10" s="8" customFormat="1"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2:10" s="8" customFormat="1"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2:10" s="8" customFormat="1"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2:10" s="8" customFormat="1"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2:10" s="8" customFormat="1"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2:10" s="8" customFormat="1"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2:10" s="8" customFormat="1"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2:10" s="8" customFormat="1"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2:10" s="8" customFormat="1"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2:10" s="8" customFormat="1"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2:10" s="8" customFormat="1"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2:10" s="8" customFormat="1"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2:10" s="8" customFormat="1"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2:10" s="8" customFormat="1"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2:10" s="8" customFormat="1"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2:10" s="8" customFormat="1"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2:10" s="8" customFormat="1"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2:10" s="8" customFormat="1"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2:10" s="8" customFormat="1"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2:10" s="8" customFormat="1"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2:10" s="8" customFormat="1"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2:10" s="8" customFormat="1"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2:10" s="8" customFormat="1"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2:10" s="8" customFormat="1"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2:10" s="8" customFormat="1"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2:10" s="8" customFormat="1"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2:10" s="8" customFormat="1"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2:10" s="8" customFormat="1"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2:10" s="8" customFormat="1"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2:10" s="8" customFormat="1"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2:10" s="8" customFormat="1"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2:10" s="8" customFormat="1"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2:10" s="8" customFormat="1"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2:10" s="8" customFormat="1"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2:10" s="8" customFormat="1"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2:10" s="8" customFormat="1"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2:10" s="8" customFormat="1"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2:10" s="8" customFormat="1"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2:10" s="8" customFormat="1"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2:10" s="8" customFormat="1"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2:10" s="8" customFormat="1"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2:10" s="8" customFormat="1"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2:10" s="8" customFormat="1"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2:10" s="8" customFormat="1"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2:10" s="8" customFormat="1"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2:10" s="8" customFormat="1"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2:10" s="8" customFormat="1"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2:10" s="8" customFormat="1"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2:10" s="8" customFormat="1"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2:10" s="8" customFormat="1"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2:10" s="8" customFormat="1"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2:10" s="8" customFormat="1"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2:10" s="8" customFormat="1"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2:10" s="8" customFormat="1"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2:10" s="8" customFormat="1"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2:10" s="8" customFormat="1"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2:10" s="8" customFormat="1"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2:10" s="8" customFormat="1"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2:10" s="8" customFormat="1"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2:10" s="8" customFormat="1"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2:10" s="8" customFormat="1"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2:10" s="8" customFormat="1"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2:10" s="8" customFormat="1"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2:10" s="8" customFormat="1"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2:10" s="8" customFormat="1"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2:10" s="8" customFormat="1"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2:10" s="8" customFormat="1"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2:10" s="8" customFormat="1"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2:10" s="8" customFormat="1"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2:10" s="8" customFormat="1"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2:10" s="8" customFormat="1"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2:10" s="8" customFormat="1"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2:10" s="8" customFormat="1"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2:10" s="8" customFormat="1"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2:10" s="8" customFormat="1"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2:10" s="8" customFormat="1"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2:10" s="8" customFormat="1"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2:10" s="8" customFormat="1"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2:10" s="8" customFormat="1"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2:10" s="8" customFormat="1"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2:10" s="8" customFormat="1"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2:10" s="8" customFormat="1"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2:10" s="8" customFormat="1"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2:10" s="8" customFormat="1"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2:10" s="8" customFormat="1"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2:10" s="8" customFormat="1"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2:10" s="8" customFormat="1"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2:10" s="8" customFormat="1"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2:10" s="8" customFormat="1"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2:10" s="8" customFormat="1"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2:10" s="8" customFormat="1"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2:10" s="8" customFormat="1"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2:10" s="8" customFormat="1"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2:10" s="8" customFormat="1"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2:10" s="8" customFormat="1"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2:10" s="8" customFormat="1"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2:10" s="8" customFormat="1"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2:10" s="8" customFormat="1"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2:10" s="8" customFormat="1"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2:10" s="8" customFormat="1"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2:10" s="8" customFormat="1"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2:10" s="8" customFormat="1"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2:10" s="8" customFormat="1"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2:10" s="8" customFormat="1"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2:10" s="8" customFormat="1"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2:10" s="8" customFormat="1"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2:10" s="8" customFormat="1"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2:10" s="8" customFormat="1"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2:10" s="8" customFormat="1"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2:10" s="8" customFormat="1"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2:10" s="8" customFormat="1"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2:10" s="8" customFormat="1"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2:10" s="8" customFormat="1"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2:10" s="8" customFormat="1"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2:10" s="8" customFormat="1"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2:10" s="8" customFormat="1"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2:10" s="8" customFormat="1"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2:10" s="8" customFormat="1"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2:10" s="8" customFormat="1"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2:10" s="8" customFormat="1"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2:10" s="8" customFormat="1"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2:10" s="8" customFormat="1"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2:10" s="8" customFormat="1"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2:10" s="8" customFormat="1"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2:10" s="8" customFormat="1"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2:10" s="8" customFormat="1"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2:10" s="8" customFormat="1"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2:10" s="8" customFormat="1"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2:10" s="8" customFormat="1"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2:10" s="8" customFormat="1"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2:10" s="8" customFormat="1"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2:10" s="8" customFormat="1"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2:10" s="8" customFormat="1"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2:10" s="8" customFormat="1"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2:10" s="8" customFormat="1"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2:10" s="8" customFormat="1"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2:10" s="8" customFormat="1"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2:10" s="8" customFormat="1"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2:10" s="8" customFormat="1"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2:10" s="8" customFormat="1"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2:10" s="8" customFormat="1"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2:10" s="8" customFormat="1"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2:10" s="8" customFormat="1"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2:10" s="8" customFormat="1"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2:10" s="8" customFormat="1"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2:10" s="8" customFormat="1"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2:10" s="8" customFormat="1"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2:10" s="8" customFormat="1"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2:10" s="8" customFormat="1"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2:10" s="8" customFormat="1"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2:10" s="8" customFormat="1"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2:10" s="8" customFormat="1"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2:10" s="8" customFormat="1"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2:10" s="8" customFormat="1"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2:10" s="8" customFormat="1"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2:10" s="8" customFormat="1"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2:10" s="8" customFormat="1"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2:10" s="8" customFormat="1"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2:10" s="8" customFormat="1"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2:10" s="8" customFormat="1"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2:10" s="8" customFormat="1"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2:10" s="8" customFormat="1"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2:10" s="8" customFormat="1"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2:10" s="8" customFormat="1"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2:10" s="8" customFormat="1"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2:10" s="8" customFormat="1"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2:10" s="8" customFormat="1"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2:10" s="8" customFormat="1"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2:10" s="8" customFormat="1"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2:10" s="8" customFormat="1"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2:10" s="8" customFormat="1"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2:10" s="8" customFormat="1"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2:10" s="8" customFormat="1"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2:10" s="8" customFormat="1"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2:10" s="8" customFormat="1"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2:10" s="8" customFormat="1"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2:10" s="8" customFormat="1"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2:10" s="8" customFormat="1"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2:10" s="8" customFormat="1"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2:10" s="8" customFormat="1"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2:10" s="8" customFormat="1"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2:10" s="8" customFormat="1"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2:10" s="8" customFormat="1"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2:10" s="8" customFormat="1"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2:10" s="8" customFormat="1"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2:10" s="8" customFormat="1"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2:10" s="8" customFormat="1"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2:10" s="8" customFormat="1"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2:10" s="8" customFormat="1"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2:10" s="8" customFormat="1"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2:10" s="8" customFormat="1"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2:10" s="8" customFormat="1"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2:10" s="8" customFormat="1"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2:10" s="8" customFormat="1"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2:10" s="8" customFormat="1"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2:10" s="8" customFormat="1"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2:10" s="8" customFormat="1"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2:10" s="8" customFormat="1"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2:10" s="8" customFormat="1"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2:10" s="8" customFormat="1"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2:10" s="8" customFormat="1"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2:10" s="8" customFormat="1"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2:10" s="8" customFormat="1"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2:10" s="8" customFormat="1"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2:10" s="8" customFormat="1"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2:10" s="8" customFormat="1"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2:10" s="8" customFormat="1"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2:10" s="8" customFormat="1"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2:10" s="8" customFormat="1"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2:10" s="8" customFormat="1"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2:10" s="8" customFormat="1"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2:10" s="8" customFormat="1"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2:10" s="8" customFormat="1"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2:10" s="8" customFormat="1"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2:10" s="8" customFormat="1"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2:10" s="8" customFormat="1"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2:10" s="8" customFormat="1"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2:10" s="8" customFormat="1"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2:10" s="8" customFormat="1"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2:10" s="8" customFormat="1"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2:10" s="8" customFormat="1"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2:10" s="8" customFormat="1"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2:10" s="8" customFormat="1"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2:10" s="8" customFormat="1"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2:10" s="8" customFormat="1"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2:10" s="8" customFormat="1"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2:10" s="8" customFormat="1"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2:10" s="8" customFormat="1"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2:10" s="8" customFormat="1"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2:10" s="8" customFormat="1"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2:10" s="8" customFormat="1"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2:10" s="8" customFormat="1"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2:10" s="8" customFormat="1"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2:10" s="8" customFormat="1"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2:10" s="8" customFormat="1"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2:10" s="8" customFormat="1"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2:10" s="8" customFormat="1"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2:10" s="8" customFormat="1"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2:10" s="8" customFormat="1"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2:10" s="8" customFormat="1"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2:10" s="8" customFormat="1"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2:10" s="8" customFormat="1"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2:10" s="8" customFormat="1"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2:10" s="8" customFormat="1"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2:10" s="8" customFormat="1"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2:10" s="8" customFormat="1"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2:10" s="8" customFormat="1"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2:10" s="8" customFormat="1"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2:10" s="8" customFormat="1"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2:10" s="8" customFormat="1"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2:10" s="8" customFormat="1"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2:10" s="8" customFormat="1"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2:10" s="8" customFormat="1"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2:10" s="8" customFormat="1"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2:10" s="8" customFormat="1"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2:10" s="8" customFormat="1"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2:10" s="8" customFormat="1"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2:10" s="8" customFormat="1"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2:10" s="8" customFormat="1"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2:10" s="8" customFormat="1"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2:10" s="8" customFormat="1"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2:10" s="8" customFormat="1"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2:10" s="8" customFormat="1"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2:10" s="8" customFormat="1"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2:10" s="8" customFormat="1"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2:10" s="8" customFormat="1"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2:10" s="8" customFormat="1"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2:10" s="8" customFormat="1"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2:10" s="8" customFormat="1"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2:10" s="8" customFormat="1"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2:10" s="8" customFormat="1"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2:10" s="8" customFormat="1"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2:10" s="8" customFormat="1"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2:10" s="8" customFormat="1"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2:10" s="8" customFormat="1"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2:10" s="8" customFormat="1"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2:10" s="8" customFormat="1"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2:10" s="8" customFormat="1"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2:10" s="8" customFormat="1"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2:10" s="8" customFormat="1"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2:10" s="8" customFormat="1"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2:10" s="8" customFormat="1"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2:10" s="8" customFormat="1"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2:10" s="8" customFormat="1"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2:10" s="8" customFormat="1"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2:10" s="8" customFormat="1"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2:10" s="8" customFormat="1"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2:10" s="8" customFormat="1"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2:10" s="8" customFormat="1"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2:10" s="8" customFormat="1"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2:10" s="8" customFormat="1"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2:10" s="8" customFormat="1"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2:10" s="8" customFormat="1"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2:10" s="8" customFormat="1"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2:10" s="8" customFormat="1"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2:10" s="8" customFormat="1"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2:10" s="8" customFormat="1"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2:10" s="8" customFormat="1"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2:10" s="8" customFormat="1"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2:10" s="8" customFormat="1"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2:10" s="8" customFormat="1"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2:10" s="8" customFormat="1"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2:10" s="8" customFormat="1"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2:10" s="8" customFormat="1"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2:10" s="8" customFormat="1"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2:10" s="8" customFormat="1"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2:10" s="8" customFormat="1"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2:10" s="8" customFormat="1"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2:10" s="8" customFormat="1"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2:10" s="8" customFormat="1"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2:10" s="8" customFormat="1"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2:10" s="8" customFormat="1"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2:10" s="8" customFormat="1"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2:10" s="8" customFormat="1"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2:10" s="8" customFormat="1"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2:10" s="8" customFormat="1"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2:10" s="8" customFormat="1"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2:10" s="8" customFormat="1"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2:10" s="8" customFormat="1"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2:10" s="8" customFormat="1"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2:10" s="8" customFormat="1"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2:10" s="8" customFormat="1"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2:10" s="8" customFormat="1"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2:10" s="8" customFormat="1"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2:10" s="8" customFormat="1"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2:10" s="8" customFormat="1"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2:10" s="8" customFormat="1"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2:10" s="8" customFormat="1"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2:10" s="8" customFormat="1"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2:10" s="8" customFormat="1"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2:10" s="8" customFormat="1"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2:10" s="8" customFormat="1"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2:10" s="8" customFormat="1"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2:10" s="8" customFormat="1"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2:10" s="8" customFormat="1"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2:10" s="8" customFormat="1"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2:10" s="8" customFormat="1"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2:10" s="8" customFormat="1"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2:10" s="8" customFormat="1"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2:10" s="8" customFormat="1"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2:10" s="8" customFormat="1"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2:10" s="8" customFormat="1"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2:10" s="8" customFormat="1"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2:10" s="8" customFormat="1"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2:10" s="8" customFormat="1"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2:10" s="8" customFormat="1"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2:10" s="8" customFormat="1"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2:10" s="8" customFormat="1"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2:10" s="8" customFormat="1"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2:10" s="8" customFormat="1"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2:10" s="8" customFormat="1"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2:10" s="8" customFormat="1"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2:10" s="8" customFormat="1"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2:10" s="8" customFormat="1"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2:10" s="8" customFormat="1"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2:10" s="8" customFormat="1"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2:10" s="8" customFormat="1"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2:10" s="8" customFormat="1"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2:10" s="8" customFormat="1"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2:10" s="8" customFormat="1"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2:10" s="8" customFormat="1"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2:10" s="8" customFormat="1"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2:10" s="8" customFormat="1"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2:10" s="8" customFormat="1"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2:10" s="8" customFormat="1"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2:10" s="8" customFormat="1"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2:10" s="8" customFormat="1"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2:10" s="8" customFormat="1"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2:10" s="8" customFormat="1"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2:10" s="8" customFormat="1"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2:10" s="8" customFormat="1"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2:10" s="8" customFormat="1"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2:10" s="8" customFormat="1"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2:10" s="8" customFormat="1"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2:10" s="8" customFormat="1"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2:10" s="8" customFormat="1"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2:10" s="8" customFormat="1"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2:10" s="8" customFormat="1"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2:10" s="8" customFormat="1"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2:10" s="8" customFormat="1"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2:10" s="8" customFormat="1"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2:10" s="8" customFormat="1"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2:10" s="8" customFormat="1"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2:10" s="8" customFormat="1"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2:10" s="8" customFormat="1"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2:10" s="8" customFormat="1"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2:10" s="8" customFormat="1"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2:10" s="8" customFormat="1"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2:10" s="8" customFormat="1"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2:10" s="8" customFormat="1"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2:10" s="8" customFormat="1"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2:10" s="8" customFormat="1"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2:10" s="8" customFormat="1"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2:10" s="8" customFormat="1"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2:10" s="8" customFormat="1"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2:10" s="8" customFormat="1"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2:10" s="8" customFormat="1"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2:10" s="8" customFormat="1"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2:10" s="8" customFormat="1"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2:10" s="8" customFormat="1"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2:10" s="8" customFormat="1"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2:10" s="8" customFormat="1"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2:10" s="8" customFormat="1"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2:10" s="8" customFormat="1"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2:10" s="8" customFormat="1"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2:10" s="8" customFormat="1"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2:10" s="8" customFormat="1"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2:10" s="8" customFormat="1"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2:10" s="8" customFormat="1"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2:10" s="8" customFormat="1"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2:10" s="8" customFormat="1"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2:10" s="8" customFormat="1"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2:10" s="8" customFormat="1"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2:10" s="8" customFormat="1"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2:10" s="8" customFormat="1"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2:10" s="8" customFormat="1"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2:10" s="8" customFormat="1"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2:10" s="8" customFormat="1"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2:10" s="8" customFormat="1"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2:10" s="8" customFormat="1"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2:10" s="8" customFormat="1"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2:10" s="8" customFormat="1"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2:10" s="8" customFormat="1"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2:10" s="8" customFormat="1"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2:10" s="8" customFormat="1"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2:10" s="8" customFormat="1"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2:10" s="8" customFormat="1"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2:10" s="8" customFormat="1"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2:10" s="8" customFormat="1"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2:10" s="8" customFormat="1">
      <c r="B927" s="23"/>
      <c r="C927" s="23"/>
      <c r="D927" s="23"/>
      <c r="E927" s="23"/>
      <c r="F927" s="23"/>
      <c r="G927" s="23"/>
      <c r="H927" s="23"/>
      <c r="I927" s="23"/>
      <c r="J927" s="23"/>
    </row>
    <row r="928" spans="2:10" s="8" customFormat="1">
      <c r="B928" s="23"/>
      <c r="C928" s="23"/>
      <c r="D928" s="23"/>
      <c r="E928" s="23"/>
      <c r="F928" s="23"/>
      <c r="G928" s="23"/>
      <c r="H928" s="23"/>
      <c r="I928" s="23"/>
      <c r="J928" s="23"/>
    </row>
    <row r="929" spans="2:10" s="8" customFormat="1">
      <c r="B929" s="23"/>
      <c r="C929" s="23"/>
      <c r="D929" s="23"/>
      <c r="E929" s="23"/>
      <c r="F929" s="23"/>
      <c r="G929" s="23"/>
      <c r="H929" s="23"/>
      <c r="I929" s="23"/>
      <c r="J929" s="23"/>
    </row>
    <row r="930" spans="2:10" s="8" customFormat="1">
      <c r="B930" s="23"/>
      <c r="C930" s="23"/>
      <c r="D930" s="23"/>
      <c r="E930" s="23"/>
      <c r="F930" s="23"/>
      <c r="G930" s="23"/>
      <c r="H930" s="23"/>
      <c r="I930" s="23"/>
      <c r="J930" s="23"/>
    </row>
    <row r="931" spans="2:10" s="8" customFormat="1">
      <c r="B931" s="23"/>
      <c r="C931" s="23"/>
      <c r="D931" s="23"/>
      <c r="E931" s="23"/>
      <c r="F931" s="23"/>
      <c r="G931" s="23"/>
      <c r="H931" s="23"/>
      <c r="I931" s="23"/>
      <c r="J931" s="23"/>
    </row>
    <row r="932" spans="2:10" s="8" customFormat="1">
      <c r="B932" s="23"/>
      <c r="C932" s="23"/>
      <c r="D932" s="23"/>
      <c r="E932" s="23"/>
      <c r="F932" s="23"/>
      <c r="G932" s="23"/>
      <c r="H932" s="23"/>
      <c r="I932" s="23"/>
      <c r="J932" s="23"/>
    </row>
    <row r="933" spans="2:10" s="8" customFormat="1">
      <c r="B933" s="23"/>
      <c r="C933" s="23"/>
      <c r="D933" s="23"/>
      <c r="E933" s="23"/>
      <c r="F933" s="23"/>
      <c r="G933" s="23"/>
      <c r="H933" s="23"/>
      <c r="I933" s="23"/>
      <c r="J933" s="23"/>
    </row>
    <row r="934" spans="2:10" s="8" customFormat="1">
      <c r="B934" s="23"/>
      <c r="C934" s="23"/>
      <c r="D934" s="23"/>
      <c r="E934" s="23"/>
      <c r="F934" s="23"/>
      <c r="G934" s="23"/>
      <c r="H934" s="23"/>
      <c r="I934" s="23"/>
      <c r="J934" s="23"/>
    </row>
    <row r="935" spans="2:10" s="8" customFormat="1">
      <c r="B935" s="23"/>
      <c r="C935" s="23"/>
      <c r="D935" s="23"/>
      <c r="E935" s="23"/>
      <c r="F935" s="23"/>
      <c r="G935" s="23"/>
      <c r="H935" s="23"/>
      <c r="I935" s="23"/>
      <c r="J935" s="23"/>
    </row>
    <row r="936" spans="2:10" s="8" customFormat="1">
      <c r="B936" s="23"/>
      <c r="C936" s="23"/>
      <c r="D936" s="23"/>
      <c r="E936" s="23"/>
      <c r="F936" s="23"/>
      <c r="G936" s="23"/>
      <c r="H936" s="23"/>
      <c r="I936" s="23"/>
      <c r="J936" s="23"/>
    </row>
    <row r="937" spans="2:10" s="8" customFormat="1">
      <c r="B937" s="23"/>
      <c r="C937" s="23"/>
      <c r="D937" s="23"/>
      <c r="E937" s="23"/>
      <c r="F937" s="23"/>
      <c r="G937" s="23"/>
      <c r="H937" s="23"/>
      <c r="I937" s="23"/>
      <c r="J937" s="23"/>
    </row>
    <row r="938" spans="2:10" s="8" customFormat="1">
      <c r="B938" s="23"/>
      <c r="C938" s="23"/>
      <c r="D938" s="23"/>
      <c r="E938" s="23"/>
      <c r="F938" s="23"/>
      <c r="G938" s="23"/>
      <c r="H938" s="23"/>
      <c r="I938" s="23"/>
      <c r="J938" s="23"/>
    </row>
    <row r="939" spans="2:10" s="8" customFormat="1">
      <c r="B939" s="23"/>
      <c r="C939" s="23"/>
      <c r="D939" s="23"/>
      <c r="E939" s="23"/>
      <c r="F939" s="23"/>
      <c r="G939" s="23"/>
      <c r="H939" s="23"/>
      <c r="I939" s="23"/>
      <c r="J939" s="23"/>
    </row>
    <row r="940" spans="2:10" s="8" customFormat="1">
      <c r="B940" s="23"/>
      <c r="C940" s="23"/>
      <c r="D940" s="23"/>
      <c r="E940" s="23"/>
      <c r="F940" s="23"/>
      <c r="G940" s="23"/>
      <c r="H940" s="23"/>
      <c r="I940" s="23"/>
      <c r="J940" s="23"/>
    </row>
    <row r="941" spans="2:10" s="8" customFormat="1">
      <c r="B941" s="23"/>
      <c r="C941" s="23"/>
      <c r="D941" s="23"/>
      <c r="E941" s="23"/>
      <c r="F941" s="23"/>
      <c r="G941" s="23"/>
      <c r="H941" s="23"/>
      <c r="I941" s="23"/>
      <c r="J941" s="23"/>
    </row>
    <row r="942" spans="2:10" s="8" customFormat="1">
      <c r="B942" s="23"/>
      <c r="C942" s="23"/>
      <c r="D942" s="23"/>
      <c r="E942" s="23"/>
      <c r="F942" s="23"/>
      <c r="G942" s="23"/>
      <c r="H942" s="23"/>
      <c r="I942" s="23"/>
      <c r="J942" s="23"/>
    </row>
    <row r="943" spans="2:10" s="8" customFormat="1">
      <c r="B943" s="23"/>
      <c r="C943" s="23"/>
      <c r="D943" s="23"/>
      <c r="E943" s="23"/>
      <c r="F943" s="23"/>
      <c r="G943" s="23"/>
      <c r="H943" s="23"/>
      <c r="I943" s="23"/>
      <c r="J943" s="23"/>
    </row>
    <row r="944" spans="2:10" s="8" customFormat="1">
      <c r="B944" s="23"/>
      <c r="C944" s="23"/>
      <c r="D944" s="23"/>
      <c r="E944" s="23"/>
      <c r="F944" s="23"/>
      <c r="G944" s="23"/>
      <c r="H944" s="23"/>
      <c r="I944" s="23"/>
      <c r="J944" s="23"/>
    </row>
    <row r="945" spans="2:10" s="8" customFormat="1">
      <c r="B945" s="23"/>
      <c r="C945" s="23"/>
      <c r="D945" s="23"/>
      <c r="E945" s="23"/>
      <c r="F945" s="23"/>
      <c r="G945" s="23"/>
      <c r="H945" s="23"/>
      <c r="I945" s="23"/>
      <c r="J945" s="23"/>
    </row>
    <row r="946" spans="2:10" s="8" customFormat="1">
      <c r="B946" s="23"/>
      <c r="C946" s="23"/>
      <c r="D946" s="23"/>
      <c r="E946" s="23"/>
      <c r="F946" s="23"/>
      <c r="G946" s="23"/>
      <c r="H946" s="23"/>
      <c r="I946" s="23"/>
      <c r="J946" s="23"/>
    </row>
    <row r="947" spans="2:10" s="8" customFormat="1">
      <c r="B947" s="23"/>
      <c r="C947" s="23"/>
      <c r="D947" s="23"/>
      <c r="E947" s="23"/>
      <c r="F947" s="23"/>
      <c r="G947" s="23"/>
      <c r="H947" s="23"/>
      <c r="I947" s="23"/>
      <c r="J947" s="23"/>
    </row>
    <row r="948" spans="2:10" s="8" customFormat="1">
      <c r="B948" s="23"/>
      <c r="C948" s="23"/>
      <c r="D948" s="23"/>
      <c r="E948" s="23"/>
      <c r="F948" s="23"/>
      <c r="G948" s="23"/>
      <c r="H948" s="23"/>
      <c r="I948" s="23"/>
      <c r="J948" s="23"/>
    </row>
    <row r="949" spans="2:10" s="8" customFormat="1">
      <c r="B949" s="23"/>
      <c r="C949" s="23"/>
      <c r="D949" s="23"/>
      <c r="E949" s="23"/>
      <c r="F949" s="23"/>
      <c r="G949" s="23"/>
      <c r="H949" s="23"/>
      <c r="I949" s="23"/>
      <c r="J949" s="23"/>
    </row>
    <row r="950" spans="2:10" s="8" customFormat="1">
      <c r="B950" s="23"/>
      <c r="C950" s="23"/>
      <c r="D950" s="23"/>
      <c r="E950" s="23"/>
      <c r="F950" s="23"/>
      <c r="G950" s="23"/>
      <c r="H950" s="23"/>
      <c r="I950" s="23"/>
      <c r="J950" s="23"/>
    </row>
    <row r="951" spans="2:10" s="8" customFormat="1">
      <c r="B951" s="23"/>
      <c r="C951" s="23"/>
      <c r="D951" s="23"/>
      <c r="E951" s="23"/>
      <c r="F951" s="23"/>
      <c r="G951" s="23"/>
      <c r="H951" s="23"/>
      <c r="I951" s="23"/>
      <c r="J951" s="23"/>
    </row>
    <row r="952" spans="2:10" s="8" customFormat="1">
      <c r="B952" s="23"/>
      <c r="C952" s="23"/>
      <c r="D952" s="23"/>
      <c r="E952" s="23"/>
      <c r="F952" s="23"/>
      <c r="G952" s="23"/>
      <c r="H952" s="23"/>
      <c r="I952" s="23"/>
      <c r="J952" s="23"/>
    </row>
    <row r="953" spans="2:10" s="8" customFormat="1">
      <c r="B953" s="23"/>
      <c r="C953" s="23"/>
      <c r="D953" s="23"/>
      <c r="E953" s="23"/>
      <c r="F953" s="23"/>
      <c r="G953" s="23"/>
      <c r="H953" s="23"/>
      <c r="I953" s="23"/>
      <c r="J953" s="23"/>
    </row>
    <row r="954" spans="2:10" s="8" customFormat="1">
      <c r="B954" s="23"/>
      <c r="C954" s="23"/>
      <c r="D954" s="23"/>
      <c r="E954" s="23"/>
      <c r="F954" s="23"/>
      <c r="G954" s="23"/>
      <c r="H954" s="23"/>
      <c r="I954" s="23"/>
      <c r="J954" s="23"/>
    </row>
    <row r="955" spans="2:10" s="8" customFormat="1">
      <c r="B955" s="23"/>
      <c r="C955" s="23"/>
      <c r="D955" s="23"/>
      <c r="E955" s="23"/>
      <c r="F955" s="23"/>
      <c r="G955" s="23"/>
      <c r="H955" s="23"/>
      <c r="I955" s="23"/>
      <c r="J955" s="23"/>
    </row>
    <row r="956" spans="2:10" s="8" customFormat="1">
      <c r="B956" s="23"/>
      <c r="C956" s="23"/>
      <c r="D956" s="23"/>
      <c r="E956" s="23"/>
      <c r="F956" s="23"/>
      <c r="G956" s="23"/>
      <c r="H956" s="23"/>
      <c r="I956" s="23"/>
      <c r="J956" s="23"/>
    </row>
    <row r="957" spans="2:10" s="8" customFormat="1">
      <c r="B957" s="23"/>
      <c r="C957" s="23"/>
      <c r="D957" s="23"/>
      <c r="E957" s="23"/>
      <c r="F957" s="23"/>
      <c r="G957" s="23"/>
      <c r="H957" s="23"/>
      <c r="I957" s="23"/>
      <c r="J957" s="23"/>
    </row>
    <row r="958" spans="2:10" s="8" customFormat="1">
      <c r="B958" s="23"/>
      <c r="C958" s="23"/>
      <c r="D958" s="23"/>
      <c r="E958" s="23"/>
      <c r="F958" s="23"/>
      <c r="G958" s="23"/>
      <c r="H958" s="23"/>
      <c r="I958" s="23"/>
      <c r="J958" s="23"/>
    </row>
    <row r="959" spans="2:10" s="8" customFormat="1">
      <c r="B959" s="23"/>
      <c r="C959" s="23"/>
      <c r="D959" s="23"/>
      <c r="E959" s="23"/>
      <c r="F959" s="23"/>
      <c r="G959" s="23"/>
      <c r="H959" s="23"/>
      <c r="I959" s="23"/>
      <c r="J959" s="23"/>
    </row>
    <row r="960" spans="2:10" s="8" customFormat="1">
      <c r="B960" s="23"/>
      <c r="C960" s="23"/>
      <c r="D960" s="23"/>
      <c r="E960" s="23"/>
      <c r="F960" s="23"/>
      <c r="G960" s="23"/>
      <c r="H960" s="23"/>
      <c r="I960" s="23"/>
      <c r="J960" s="23"/>
    </row>
    <row r="961" spans="2:10" s="8" customFormat="1">
      <c r="B961" s="23"/>
      <c r="C961" s="23"/>
      <c r="D961" s="23"/>
      <c r="E961" s="23"/>
      <c r="F961" s="23"/>
      <c r="G961" s="23"/>
      <c r="H961" s="23"/>
      <c r="I961" s="23"/>
      <c r="J961" s="23"/>
    </row>
    <row r="962" spans="2:10" s="8" customFormat="1">
      <c r="B962" s="23"/>
      <c r="C962" s="23"/>
      <c r="D962" s="23"/>
      <c r="E962" s="23"/>
      <c r="F962" s="23"/>
      <c r="G962" s="23"/>
      <c r="H962" s="23"/>
      <c r="I962" s="23"/>
      <c r="J962" s="23"/>
    </row>
    <row r="963" spans="2:10" s="8" customFormat="1">
      <c r="B963" s="23"/>
      <c r="C963" s="23"/>
      <c r="D963" s="23"/>
      <c r="E963" s="23"/>
      <c r="F963" s="23"/>
      <c r="G963" s="23"/>
      <c r="H963" s="23"/>
      <c r="I963" s="23"/>
      <c r="J963" s="23"/>
    </row>
    <row r="964" spans="2:10" s="8" customFormat="1">
      <c r="B964" s="23"/>
      <c r="C964" s="23"/>
      <c r="D964" s="23"/>
      <c r="E964" s="23"/>
      <c r="F964" s="23"/>
      <c r="G964" s="23"/>
      <c r="H964" s="23"/>
      <c r="I964" s="23"/>
      <c r="J964" s="23"/>
    </row>
    <row r="965" spans="2:10" s="8" customFormat="1">
      <c r="B965" s="23"/>
      <c r="C965" s="23"/>
      <c r="D965" s="23"/>
      <c r="E965" s="23"/>
      <c r="F965" s="23"/>
      <c r="G965" s="23"/>
      <c r="H965" s="23"/>
      <c r="I965" s="23"/>
      <c r="J965" s="23"/>
    </row>
    <row r="966" spans="2:10" s="8" customFormat="1">
      <c r="B966" s="23"/>
      <c r="C966" s="23"/>
      <c r="D966" s="23"/>
      <c r="E966" s="23"/>
      <c r="F966" s="23"/>
      <c r="G966" s="23"/>
      <c r="H966" s="23"/>
      <c r="I966" s="23"/>
      <c r="J966" s="23"/>
    </row>
    <row r="967" spans="2:10" s="8" customFormat="1">
      <c r="B967" s="23"/>
      <c r="C967" s="23"/>
      <c r="D967" s="23"/>
      <c r="E967" s="23"/>
      <c r="F967" s="23"/>
      <c r="G967" s="23"/>
      <c r="H967" s="23"/>
      <c r="I967" s="23"/>
      <c r="J967" s="23"/>
    </row>
    <row r="968" spans="2:10" s="8" customFormat="1">
      <c r="B968" s="23"/>
      <c r="C968" s="23"/>
      <c r="D968" s="23"/>
      <c r="E968" s="23"/>
      <c r="F968" s="23"/>
      <c r="G968" s="23"/>
      <c r="H968" s="23"/>
      <c r="I968" s="23"/>
      <c r="J968" s="23"/>
    </row>
    <row r="969" spans="2:10" s="8" customFormat="1">
      <c r="B969" s="23"/>
      <c r="C969" s="23"/>
      <c r="D969" s="23"/>
      <c r="E969" s="23"/>
      <c r="F969" s="23"/>
      <c r="G969" s="23"/>
      <c r="H969" s="23"/>
      <c r="I969" s="23"/>
      <c r="J969" s="23"/>
    </row>
    <row r="970" spans="2:10" s="8" customFormat="1">
      <c r="B970" s="23"/>
      <c r="C970" s="23"/>
      <c r="D970" s="23"/>
      <c r="E970" s="23"/>
      <c r="F970" s="23"/>
      <c r="G970" s="23"/>
      <c r="H970" s="23"/>
      <c r="I970" s="23"/>
      <c r="J970" s="23"/>
    </row>
    <row r="971" spans="2:10" s="8" customFormat="1">
      <c r="B971" s="23"/>
      <c r="C971" s="23"/>
      <c r="D971" s="23"/>
      <c r="E971" s="23"/>
      <c r="F971" s="23"/>
      <c r="G971" s="23"/>
      <c r="H971" s="23"/>
      <c r="I971" s="23"/>
      <c r="J971" s="23"/>
    </row>
    <row r="972" spans="2:10" s="8" customFormat="1">
      <c r="B972" s="23"/>
      <c r="C972" s="23"/>
      <c r="D972" s="23"/>
      <c r="E972" s="23"/>
      <c r="F972" s="23"/>
      <c r="G972" s="23"/>
      <c r="H972" s="23"/>
      <c r="I972" s="23"/>
      <c r="J972" s="23"/>
    </row>
    <row r="973" spans="2:10" s="8" customFormat="1">
      <c r="B973" s="23"/>
      <c r="C973" s="23"/>
      <c r="D973" s="23"/>
      <c r="E973" s="23"/>
      <c r="F973" s="23"/>
      <c r="G973" s="23"/>
      <c r="H973" s="23"/>
      <c r="I973" s="23"/>
      <c r="J973" s="23"/>
    </row>
    <row r="974" spans="2:10" s="8" customFormat="1">
      <c r="B974" s="23"/>
      <c r="C974" s="23"/>
      <c r="D974" s="23"/>
      <c r="E974" s="23"/>
      <c r="F974" s="23"/>
      <c r="G974" s="23"/>
      <c r="H974" s="23"/>
      <c r="I974" s="23"/>
      <c r="J974" s="23"/>
    </row>
    <row r="975" spans="2:10" s="8" customFormat="1">
      <c r="B975" s="23"/>
      <c r="C975" s="23"/>
      <c r="D975" s="23"/>
      <c r="E975" s="23"/>
      <c r="F975" s="23"/>
      <c r="G975" s="23"/>
      <c r="H975" s="23"/>
      <c r="I975" s="23"/>
      <c r="J975" s="23"/>
    </row>
    <row r="976" spans="2:10" s="8" customFormat="1">
      <c r="B976" s="23"/>
      <c r="C976" s="23"/>
      <c r="D976" s="23"/>
      <c r="E976" s="23"/>
      <c r="F976" s="23"/>
      <c r="G976" s="23"/>
      <c r="H976" s="23"/>
      <c r="I976" s="23"/>
      <c r="J976" s="23"/>
    </row>
    <row r="977" spans="2:10" s="8" customFormat="1">
      <c r="B977" s="23"/>
      <c r="C977" s="23"/>
      <c r="D977" s="23"/>
      <c r="E977" s="23"/>
      <c r="F977" s="23"/>
      <c r="G977" s="23"/>
      <c r="H977" s="23"/>
      <c r="I977" s="23"/>
      <c r="J977" s="23"/>
    </row>
    <row r="978" spans="2:10" s="8" customFormat="1">
      <c r="B978" s="23"/>
      <c r="C978" s="23"/>
      <c r="D978" s="23"/>
      <c r="E978" s="23"/>
      <c r="F978" s="23"/>
      <c r="G978" s="23"/>
      <c r="H978" s="23"/>
      <c r="I978" s="23"/>
      <c r="J978" s="23"/>
    </row>
    <row r="979" spans="2:10" s="8" customFormat="1">
      <c r="B979" s="23"/>
      <c r="C979" s="23"/>
      <c r="D979" s="23"/>
      <c r="E979" s="23"/>
      <c r="F979" s="23"/>
      <c r="G979" s="23"/>
      <c r="H979" s="23"/>
      <c r="I979" s="23"/>
      <c r="J979" s="23"/>
    </row>
    <row r="980" spans="2:10" s="8" customFormat="1">
      <c r="B980" s="23"/>
      <c r="C980" s="23"/>
      <c r="D980" s="23"/>
      <c r="E980" s="23"/>
      <c r="F980" s="23"/>
      <c r="G980" s="23"/>
      <c r="H980" s="23"/>
      <c r="I980" s="23"/>
      <c r="J980" s="23"/>
    </row>
    <row r="981" spans="2:10" s="8" customFormat="1">
      <c r="B981" s="23"/>
      <c r="C981" s="23"/>
      <c r="D981" s="23"/>
      <c r="E981" s="23"/>
      <c r="F981" s="23"/>
      <c r="G981" s="23"/>
      <c r="H981" s="23"/>
      <c r="I981" s="23"/>
      <c r="J981" s="23"/>
    </row>
    <row r="982" spans="2:10" s="8" customFormat="1">
      <c r="B982" s="23"/>
      <c r="C982" s="23"/>
      <c r="D982" s="23"/>
      <c r="E982" s="23"/>
      <c r="F982" s="23"/>
      <c r="G982" s="23"/>
      <c r="H982" s="23"/>
      <c r="I982" s="23"/>
      <c r="J982" s="23"/>
    </row>
    <row r="983" spans="2:10" s="8" customFormat="1">
      <c r="B983" s="23"/>
      <c r="C983" s="23"/>
      <c r="D983" s="23"/>
      <c r="E983" s="23"/>
      <c r="F983" s="23"/>
      <c r="G983" s="23"/>
      <c r="H983" s="23"/>
      <c r="I983" s="23"/>
      <c r="J983" s="23"/>
    </row>
    <row r="984" spans="2:10" s="8" customFormat="1">
      <c r="B984" s="23"/>
      <c r="C984" s="23"/>
      <c r="D984" s="23"/>
      <c r="E984" s="23"/>
      <c r="F984" s="23"/>
      <c r="G984" s="23"/>
      <c r="H984" s="23"/>
      <c r="I984" s="23"/>
      <c r="J984" s="23"/>
    </row>
    <row r="985" spans="2:10" s="8" customFormat="1">
      <c r="B985" s="23"/>
      <c r="C985" s="23"/>
      <c r="D985" s="23"/>
      <c r="E985" s="23"/>
      <c r="F985" s="23"/>
      <c r="G985" s="23"/>
      <c r="H985" s="23"/>
      <c r="I985" s="23"/>
      <c r="J985" s="23"/>
    </row>
    <row r="986" spans="2:10" s="8" customFormat="1">
      <c r="B986" s="23"/>
      <c r="C986" s="23"/>
      <c r="D986" s="23"/>
      <c r="E986" s="23"/>
      <c r="F986" s="23"/>
      <c r="G986" s="23"/>
      <c r="H986" s="23"/>
      <c r="I986" s="23"/>
      <c r="J986" s="23"/>
    </row>
    <row r="987" spans="2:10" s="8" customFormat="1">
      <c r="B987" s="23"/>
      <c r="C987" s="23"/>
      <c r="D987" s="23"/>
      <c r="E987" s="23"/>
      <c r="F987" s="23"/>
      <c r="G987" s="23"/>
      <c r="H987" s="23"/>
      <c r="I987" s="23"/>
      <c r="J987" s="23"/>
    </row>
    <row r="988" spans="2:10" s="8" customFormat="1">
      <c r="B988" s="23"/>
      <c r="C988" s="23"/>
      <c r="D988" s="23"/>
      <c r="E988" s="23"/>
      <c r="F988" s="23"/>
      <c r="G988" s="23"/>
      <c r="H988" s="23"/>
      <c r="I988" s="23"/>
      <c r="J988" s="23"/>
    </row>
    <row r="989" spans="2:10" s="8" customFormat="1">
      <c r="B989" s="23"/>
      <c r="C989" s="23"/>
      <c r="D989" s="23"/>
      <c r="E989" s="23"/>
      <c r="F989" s="23"/>
      <c r="G989" s="23"/>
      <c r="H989" s="23"/>
      <c r="I989" s="23"/>
      <c r="J989" s="23"/>
    </row>
    <row r="990" spans="2:10" s="8" customFormat="1">
      <c r="B990" s="23"/>
      <c r="C990" s="23"/>
      <c r="D990" s="23"/>
      <c r="E990" s="23"/>
      <c r="F990" s="23"/>
      <c r="G990" s="23"/>
      <c r="H990" s="23"/>
      <c r="I990" s="23"/>
      <c r="J990" s="23"/>
    </row>
    <row r="991" spans="2:10" s="8" customFormat="1">
      <c r="B991" s="23"/>
      <c r="C991" s="23"/>
      <c r="D991" s="23"/>
      <c r="E991" s="23"/>
      <c r="F991" s="23"/>
      <c r="G991" s="23"/>
      <c r="H991" s="23"/>
      <c r="I991" s="23"/>
      <c r="J991" s="23"/>
    </row>
    <row r="992" spans="2:10" s="8" customFormat="1">
      <c r="B992" s="23"/>
      <c r="C992" s="23"/>
      <c r="D992" s="23"/>
      <c r="E992" s="23"/>
      <c r="F992" s="23"/>
      <c r="G992" s="23"/>
      <c r="H992" s="23"/>
      <c r="I992" s="23"/>
      <c r="J992" s="23"/>
    </row>
    <row r="993" spans="2:10" s="8" customFormat="1">
      <c r="B993" s="23"/>
      <c r="C993" s="23"/>
      <c r="D993" s="23"/>
      <c r="E993" s="23"/>
      <c r="F993" s="23"/>
      <c r="G993" s="23"/>
      <c r="H993" s="23"/>
      <c r="I993" s="23"/>
      <c r="J993" s="23"/>
    </row>
    <row r="994" spans="2:10" s="8" customFormat="1">
      <c r="B994" s="23"/>
      <c r="C994" s="23"/>
      <c r="D994" s="23"/>
      <c r="E994" s="23"/>
      <c r="F994" s="23"/>
      <c r="G994" s="23"/>
      <c r="H994" s="23"/>
      <c r="I994" s="23"/>
      <c r="J994" s="23"/>
    </row>
    <row r="995" spans="2:10" s="8" customFormat="1">
      <c r="B995" s="23"/>
      <c r="C995" s="23"/>
      <c r="D995" s="23"/>
      <c r="E995" s="23"/>
      <c r="F995" s="23"/>
      <c r="G995" s="23"/>
      <c r="H995" s="23"/>
      <c r="I995" s="23"/>
      <c r="J995" s="23"/>
    </row>
    <row r="996" spans="2:10" s="8" customFormat="1">
      <c r="B996" s="23"/>
      <c r="C996" s="23"/>
      <c r="D996" s="23"/>
      <c r="E996" s="23"/>
      <c r="F996" s="23"/>
      <c r="G996" s="23"/>
      <c r="H996" s="23"/>
      <c r="I996" s="23"/>
      <c r="J996" s="23"/>
    </row>
    <row r="997" spans="2:10" s="8" customFormat="1">
      <c r="B997" s="23"/>
      <c r="C997" s="23"/>
      <c r="D997" s="23"/>
      <c r="E997" s="23"/>
      <c r="F997" s="23"/>
      <c r="G997" s="23"/>
      <c r="H997" s="23"/>
      <c r="I997" s="23"/>
      <c r="J997" s="23"/>
    </row>
    <row r="998" spans="2:10" s="8" customFormat="1">
      <c r="B998" s="23"/>
      <c r="C998" s="23"/>
      <c r="D998" s="23"/>
      <c r="E998" s="23"/>
      <c r="F998" s="23"/>
      <c r="G998" s="23"/>
      <c r="H998" s="23"/>
      <c r="I998" s="23"/>
      <c r="J998" s="23"/>
    </row>
    <row r="999" spans="2:10" s="8" customFormat="1">
      <c r="B999" s="23"/>
      <c r="C999" s="23"/>
      <c r="D999" s="23"/>
      <c r="E999" s="23"/>
      <c r="F999" s="23"/>
      <c r="G999" s="23"/>
      <c r="H999" s="23"/>
      <c r="I999" s="23"/>
      <c r="J999" s="23"/>
    </row>
    <row r="1000" spans="2:10" s="8" customFormat="1">
      <c r="B1000" s="23"/>
      <c r="C1000" s="23"/>
      <c r="D1000" s="23"/>
      <c r="E1000" s="23"/>
      <c r="F1000" s="23"/>
      <c r="G1000" s="23"/>
      <c r="H1000" s="23"/>
      <c r="I1000" s="23"/>
      <c r="J1000" s="23"/>
    </row>
    <row r="1001" spans="2:10" s="8" customFormat="1">
      <c r="B1001" s="23"/>
      <c r="C1001" s="23"/>
      <c r="D1001" s="23"/>
      <c r="E1001" s="23"/>
      <c r="F1001" s="23"/>
      <c r="G1001" s="23"/>
      <c r="H1001" s="23"/>
      <c r="I1001" s="23"/>
      <c r="J1001" s="23"/>
    </row>
    <row r="1002" spans="2:10" s="8" customFormat="1">
      <c r="B1002" s="23"/>
      <c r="C1002" s="23"/>
      <c r="D1002" s="23"/>
      <c r="E1002" s="23"/>
      <c r="F1002" s="23"/>
      <c r="G1002" s="23"/>
      <c r="H1002" s="23"/>
      <c r="I1002" s="23"/>
      <c r="J1002" s="23"/>
    </row>
    <row r="1003" spans="2:10" s="8" customFormat="1">
      <c r="B1003" s="23"/>
      <c r="C1003" s="23"/>
      <c r="D1003" s="23"/>
      <c r="E1003" s="23"/>
      <c r="F1003" s="23"/>
      <c r="G1003" s="23"/>
      <c r="H1003" s="23"/>
      <c r="I1003" s="23"/>
      <c r="J1003" s="23"/>
    </row>
    <row r="1004" spans="2:10" s="8" customFormat="1">
      <c r="B1004" s="23"/>
      <c r="C1004" s="23"/>
      <c r="D1004" s="23"/>
      <c r="E1004" s="23"/>
      <c r="F1004" s="23"/>
      <c r="G1004" s="23"/>
      <c r="H1004" s="23"/>
      <c r="I1004" s="23"/>
      <c r="J1004" s="23"/>
    </row>
    <row r="1005" spans="2:10" s="8" customFormat="1">
      <c r="B1005" s="23"/>
      <c r="C1005" s="23"/>
      <c r="D1005" s="23"/>
      <c r="E1005" s="23"/>
      <c r="F1005" s="23"/>
      <c r="G1005" s="23"/>
      <c r="H1005" s="23"/>
      <c r="I1005" s="23"/>
      <c r="J1005" s="23"/>
    </row>
    <row r="1006" spans="2:10" s="8" customFormat="1">
      <c r="B1006" s="23"/>
      <c r="C1006" s="23"/>
      <c r="D1006" s="23"/>
      <c r="E1006" s="23"/>
      <c r="F1006" s="23"/>
      <c r="G1006" s="23"/>
      <c r="H1006" s="23"/>
      <c r="I1006" s="23"/>
      <c r="J1006" s="23"/>
    </row>
    <row r="1007" spans="2:10" s="8" customFormat="1">
      <c r="B1007" s="23"/>
      <c r="C1007" s="23"/>
      <c r="D1007" s="23"/>
      <c r="E1007" s="23"/>
      <c r="F1007" s="23"/>
      <c r="G1007" s="23"/>
      <c r="H1007" s="23"/>
      <c r="I1007" s="23"/>
      <c r="J1007" s="23"/>
    </row>
    <row r="1008" spans="2:10" s="8" customFormat="1">
      <c r="B1008" s="23"/>
      <c r="C1008" s="23"/>
      <c r="D1008" s="23"/>
      <c r="E1008" s="23"/>
      <c r="F1008" s="23"/>
      <c r="G1008" s="23"/>
      <c r="H1008" s="23"/>
      <c r="I1008" s="23"/>
      <c r="J1008" s="23"/>
    </row>
    <row r="1009" spans="2:10" s="8" customFormat="1">
      <c r="B1009" s="23"/>
      <c r="C1009" s="23"/>
      <c r="D1009" s="23"/>
      <c r="E1009" s="23"/>
      <c r="F1009" s="23"/>
      <c r="G1009" s="23"/>
      <c r="H1009" s="23"/>
      <c r="I1009" s="23"/>
      <c r="J1009" s="23"/>
    </row>
    <row r="1010" spans="2:10" s="8" customFormat="1">
      <c r="B1010" s="23"/>
      <c r="C1010" s="23"/>
      <c r="D1010" s="23"/>
      <c r="E1010" s="23"/>
      <c r="F1010" s="23"/>
      <c r="G1010" s="23"/>
      <c r="H1010" s="23"/>
      <c r="I1010" s="23"/>
      <c r="J1010" s="23"/>
    </row>
    <row r="1011" spans="2:10" s="8" customFormat="1">
      <c r="B1011" s="23"/>
      <c r="C1011" s="23"/>
      <c r="D1011" s="23"/>
      <c r="E1011" s="23"/>
      <c r="F1011" s="23"/>
      <c r="G1011" s="23"/>
      <c r="H1011" s="23"/>
      <c r="I1011" s="23"/>
      <c r="J1011" s="23"/>
    </row>
    <row r="1012" spans="2:10" s="8" customFormat="1">
      <c r="B1012" s="23"/>
      <c r="C1012" s="23"/>
      <c r="D1012" s="23"/>
      <c r="E1012" s="23"/>
      <c r="F1012" s="23"/>
      <c r="G1012" s="23"/>
      <c r="H1012" s="23"/>
      <c r="I1012" s="23"/>
      <c r="J1012" s="23"/>
    </row>
    <row r="1013" spans="2:10" s="8" customFormat="1">
      <c r="B1013" s="23"/>
      <c r="C1013" s="23"/>
      <c r="D1013" s="23"/>
      <c r="E1013" s="23"/>
      <c r="F1013" s="23"/>
      <c r="G1013" s="23"/>
      <c r="H1013" s="23"/>
      <c r="I1013" s="23"/>
      <c r="J1013" s="23"/>
    </row>
    <row r="1014" spans="2:10" s="8" customFormat="1">
      <c r="B1014" s="23"/>
      <c r="C1014" s="23"/>
      <c r="D1014" s="23"/>
      <c r="E1014" s="23"/>
      <c r="F1014" s="23"/>
      <c r="G1014" s="23"/>
      <c r="H1014" s="23"/>
      <c r="I1014" s="23"/>
      <c r="J1014" s="23"/>
    </row>
    <row r="1015" spans="2:10" s="8" customFormat="1">
      <c r="B1015" s="23"/>
      <c r="C1015" s="23"/>
      <c r="D1015" s="23"/>
      <c r="E1015" s="23"/>
      <c r="F1015" s="23"/>
      <c r="G1015" s="23"/>
      <c r="H1015" s="23"/>
      <c r="I1015" s="23"/>
      <c r="J1015" s="23"/>
    </row>
    <row r="1016" spans="2:10" s="8" customFormat="1">
      <c r="B1016" s="23"/>
      <c r="C1016" s="23"/>
      <c r="D1016" s="23"/>
      <c r="E1016" s="23"/>
      <c r="F1016" s="23"/>
      <c r="G1016" s="23"/>
      <c r="H1016" s="23"/>
      <c r="I1016" s="23"/>
      <c r="J1016" s="23"/>
    </row>
    <row r="1017" spans="2:10" s="8" customFormat="1">
      <c r="B1017" s="23"/>
      <c r="C1017" s="23"/>
      <c r="D1017" s="23"/>
      <c r="E1017" s="23"/>
      <c r="F1017" s="23"/>
      <c r="G1017" s="23"/>
      <c r="H1017" s="23"/>
      <c r="I1017" s="23"/>
      <c r="J1017" s="23"/>
    </row>
    <row r="1018" spans="2:10" s="8" customFormat="1">
      <c r="B1018" s="23"/>
      <c r="C1018" s="23"/>
      <c r="D1018" s="23"/>
      <c r="E1018" s="23"/>
      <c r="F1018" s="23"/>
      <c r="G1018" s="23"/>
      <c r="H1018" s="23"/>
      <c r="I1018" s="23"/>
      <c r="J1018" s="23"/>
    </row>
    <row r="1019" spans="2:10" s="8" customFormat="1">
      <c r="B1019" s="23"/>
      <c r="C1019" s="23"/>
      <c r="D1019" s="23"/>
      <c r="E1019" s="23"/>
      <c r="F1019" s="23"/>
      <c r="G1019" s="23"/>
      <c r="H1019" s="23"/>
      <c r="I1019" s="23"/>
      <c r="J1019" s="23"/>
    </row>
    <row r="1020" spans="2:10" s="8" customFormat="1">
      <c r="B1020" s="23"/>
      <c r="C1020" s="23"/>
      <c r="D1020" s="23"/>
      <c r="E1020" s="23"/>
      <c r="F1020" s="23"/>
      <c r="G1020" s="23"/>
      <c r="H1020" s="23"/>
      <c r="I1020" s="23"/>
      <c r="J1020" s="23"/>
    </row>
    <row r="1021" spans="2:10" s="8" customFormat="1">
      <c r="B1021" s="23"/>
      <c r="C1021" s="23"/>
      <c r="D1021" s="23"/>
      <c r="E1021" s="23"/>
      <c r="F1021" s="23"/>
      <c r="G1021" s="23"/>
      <c r="H1021" s="23"/>
      <c r="I1021" s="23"/>
      <c r="J1021" s="23"/>
    </row>
    <row r="1022" spans="2:10" s="8" customFormat="1">
      <c r="B1022" s="23"/>
      <c r="C1022" s="23"/>
      <c r="D1022" s="23"/>
      <c r="E1022" s="23"/>
      <c r="F1022" s="23"/>
      <c r="G1022" s="23"/>
      <c r="H1022" s="23"/>
      <c r="I1022" s="23"/>
      <c r="J1022" s="23"/>
    </row>
    <row r="1023" spans="2:10" s="8" customFormat="1">
      <c r="B1023" s="23"/>
      <c r="C1023" s="23"/>
      <c r="D1023" s="23"/>
      <c r="E1023" s="23"/>
      <c r="F1023" s="23"/>
      <c r="G1023" s="23"/>
      <c r="H1023" s="23"/>
      <c r="I1023" s="23"/>
      <c r="J1023" s="23"/>
    </row>
    <row r="1024" spans="2:10" s="8" customFormat="1">
      <c r="B1024" s="23"/>
      <c r="C1024" s="23"/>
      <c r="D1024" s="23"/>
      <c r="E1024" s="23"/>
      <c r="F1024" s="23"/>
      <c r="G1024" s="23"/>
      <c r="H1024" s="23"/>
      <c r="I1024" s="23"/>
      <c r="J1024" s="23"/>
    </row>
    <row r="1025" spans="2:10" s="8" customFormat="1">
      <c r="B1025" s="23"/>
      <c r="C1025" s="23"/>
      <c r="D1025" s="23"/>
      <c r="E1025" s="23"/>
      <c r="F1025" s="23"/>
      <c r="G1025" s="23"/>
      <c r="H1025" s="23"/>
      <c r="I1025" s="23"/>
      <c r="J1025" s="23"/>
    </row>
    <row r="1026" spans="2:10" s="8" customFormat="1">
      <c r="B1026" s="23"/>
      <c r="C1026" s="23"/>
      <c r="D1026" s="23"/>
      <c r="E1026" s="23"/>
      <c r="F1026" s="23"/>
      <c r="G1026" s="23"/>
      <c r="H1026" s="23"/>
      <c r="I1026" s="23"/>
      <c r="J1026" s="23"/>
    </row>
    <row r="1027" spans="2:10" s="8" customFormat="1">
      <c r="B1027" s="23"/>
      <c r="C1027" s="23"/>
      <c r="D1027" s="23"/>
      <c r="E1027" s="23"/>
      <c r="F1027" s="23"/>
      <c r="G1027" s="23"/>
      <c r="H1027" s="23"/>
      <c r="I1027" s="23"/>
      <c r="J1027" s="23"/>
    </row>
    <row r="1028" spans="2:10" s="8" customFormat="1">
      <c r="B1028" s="23"/>
      <c r="C1028" s="23"/>
      <c r="D1028" s="23"/>
      <c r="E1028" s="23"/>
      <c r="F1028" s="23"/>
      <c r="G1028" s="23"/>
      <c r="H1028" s="23"/>
      <c r="I1028" s="23"/>
      <c r="J1028" s="23"/>
    </row>
    <row r="1029" spans="2:10" s="8" customFormat="1">
      <c r="B1029" s="23"/>
      <c r="C1029" s="23"/>
      <c r="D1029" s="23"/>
      <c r="E1029" s="23"/>
      <c r="F1029" s="23"/>
      <c r="G1029" s="23"/>
      <c r="H1029" s="23"/>
      <c r="I1029" s="23"/>
      <c r="J1029" s="23"/>
    </row>
    <row r="1030" spans="2:10" s="8" customFormat="1">
      <c r="B1030" s="23"/>
      <c r="C1030" s="23"/>
      <c r="D1030" s="23"/>
      <c r="E1030" s="23"/>
      <c r="F1030" s="23"/>
      <c r="G1030" s="23"/>
      <c r="H1030" s="23"/>
      <c r="I1030" s="23"/>
      <c r="J1030" s="23"/>
    </row>
    <row r="1031" spans="2:10" s="8" customFormat="1">
      <c r="B1031" s="23"/>
      <c r="C1031" s="23"/>
      <c r="D1031" s="23"/>
      <c r="E1031" s="23"/>
      <c r="F1031" s="23"/>
      <c r="G1031" s="23"/>
      <c r="H1031" s="23"/>
      <c r="I1031" s="23"/>
      <c r="J1031" s="23"/>
    </row>
    <row r="1032" spans="2:10" s="8" customFormat="1">
      <c r="B1032" s="23"/>
      <c r="C1032" s="23"/>
      <c r="D1032" s="23"/>
      <c r="E1032" s="23"/>
      <c r="F1032" s="23"/>
      <c r="G1032" s="23"/>
      <c r="H1032" s="23"/>
      <c r="I1032" s="23"/>
      <c r="J1032" s="23"/>
    </row>
    <row r="1033" spans="2:10" s="8" customFormat="1">
      <c r="B1033" s="23"/>
      <c r="C1033" s="23"/>
      <c r="D1033" s="23"/>
      <c r="E1033" s="23"/>
      <c r="F1033" s="23"/>
      <c r="G1033" s="23"/>
      <c r="H1033" s="23"/>
      <c r="I1033" s="23"/>
      <c r="J1033" s="23"/>
    </row>
    <row r="1034" spans="2:10" s="8" customFormat="1">
      <c r="B1034" s="23"/>
      <c r="C1034" s="23"/>
      <c r="D1034" s="23"/>
      <c r="E1034" s="23"/>
      <c r="F1034" s="23"/>
      <c r="G1034" s="23"/>
      <c r="H1034" s="23"/>
      <c r="I1034" s="23"/>
      <c r="J1034" s="23"/>
    </row>
    <row r="1035" spans="2:10" s="8" customFormat="1">
      <c r="B1035" s="23"/>
      <c r="C1035" s="23"/>
      <c r="D1035" s="23"/>
      <c r="E1035" s="23"/>
      <c r="F1035" s="23"/>
      <c r="G1035" s="23"/>
      <c r="H1035" s="23"/>
      <c r="I1035" s="23"/>
      <c r="J1035" s="23"/>
    </row>
    <row r="1036" spans="2:10" s="8" customFormat="1">
      <c r="B1036" s="23"/>
      <c r="C1036" s="23"/>
      <c r="D1036" s="23"/>
      <c r="E1036" s="23"/>
      <c r="F1036" s="23"/>
      <c r="G1036" s="23"/>
      <c r="H1036" s="23"/>
      <c r="I1036" s="23"/>
      <c r="J1036" s="23"/>
    </row>
    <row r="1037" spans="2:10" s="8" customFormat="1">
      <c r="B1037" s="23"/>
      <c r="C1037" s="23"/>
      <c r="D1037" s="23"/>
      <c r="E1037" s="23"/>
      <c r="F1037" s="23"/>
      <c r="G1037" s="23"/>
      <c r="H1037" s="23"/>
      <c r="I1037" s="23"/>
      <c r="J1037" s="23"/>
    </row>
    <row r="1038" spans="2:10" s="8" customFormat="1">
      <c r="B1038" s="23"/>
      <c r="C1038" s="23"/>
      <c r="D1038" s="23"/>
      <c r="E1038" s="23"/>
      <c r="F1038" s="23"/>
      <c r="G1038" s="23"/>
      <c r="H1038" s="23"/>
      <c r="I1038" s="23"/>
      <c r="J1038" s="23"/>
    </row>
    <row r="1039" spans="2:10" s="8" customFormat="1">
      <c r="B1039" s="23"/>
      <c r="C1039" s="23"/>
      <c r="D1039" s="23"/>
      <c r="E1039" s="23"/>
      <c r="F1039" s="23"/>
      <c r="G1039" s="23"/>
      <c r="H1039" s="23"/>
      <c r="I1039" s="23"/>
      <c r="J1039" s="23"/>
    </row>
    <row r="1040" spans="2:10" s="8" customFormat="1">
      <c r="B1040" s="23"/>
      <c r="C1040" s="23"/>
      <c r="D1040" s="23"/>
      <c r="E1040" s="23"/>
      <c r="F1040" s="23"/>
      <c r="G1040" s="23"/>
      <c r="H1040" s="23"/>
      <c r="I1040" s="23"/>
      <c r="J1040" s="23"/>
    </row>
    <row r="1041" spans="2:10" s="8" customFormat="1">
      <c r="B1041" s="23"/>
      <c r="C1041" s="23"/>
      <c r="D1041" s="23"/>
      <c r="E1041" s="23"/>
      <c r="F1041" s="23"/>
      <c r="G1041" s="23"/>
      <c r="H1041" s="23"/>
      <c r="I1041" s="23"/>
      <c r="J1041" s="23"/>
    </row>
    <row r="1042" spans="2:10" s="8" customFormat="1">
      <c r="B1042" s="23"/>
      <c r="C1042" s="23"/>
      <c r="D1042" s="23"/>
      <c r="E1042" s="23"/>
      <c r="F1042" s="23"/>
      <c r="G1042" s="23"/>
      <c r="H1042" s="23"/>
      <c r="I1042" s="23"/>
      <c r="J1042" s="23"/>
    </row>
    <row r="1043" spans="2:10" s="8" customFormat="1">
      <c r="B1043" s="23"/>
      <c r="C1043" s="23"/>
      <c r="D1043" s="23"/>
      <c r="E1043" s="23"/>
      <c r="F1043" s="23"/>
      <c r="G1043" s="23"/>
      <c r="H1043" s="23"/>
      <c r="I1043" s="23"/>
      <c r="J1043" s="23"/>
    </row>
    <row r="1044" spans="2:10" s="8" customFormat="1">
      <c r="B1044" s="23"/>
      <c r="C1044" s="23"/>
      <c r="D1044" s="23"/>
      <c r="E1044" s="23"/>
      <c r="F1044" s="23"/>
      <c r="G1044" s="23"/>
      <c r="H1044" s="23"/>
      <c r="I1044" s="23"/>
      <c r="J1044" s="23"/>
    </row>
    <row r="1045" spans="2:10" s="8" customFormat="1">
      <c r="B1045" s="23"/>
      <c r="C1045" s="23"/>
      <c r="D1045" s="23"/>
      <c r="E1045" s="23"/>
      <c r="F1045" s="23"/>
      <c r="G1045" s="23"/>
      <c r="H1045" s="23"/>
      <c r="I1045" s="23"/>
      <c r="J1045" s="23"/>
    </row>
    <row r="1046" spans="2:10" s="8" customFormat="1">
      <c r="B1046" s="23"/>
      <c r="C1046" s="23"/>
      <c r="D1046" s="23"/>
      <c r="E1046" s="23"/>
      <c r="F1046" s="23"/>
      <c r="G1046" s="23"/>
      <c r="H1046" s="23"/>
      <c r="I1046" s="23"/>
      <c r="J1046" s="23"/>
    </row>
    <row r="1047" spans="2:10" s="8" customFormat="1">
      <c r="B1047" s="23"/>
      <c r="C1047" s="23"/>
      <c r="D1047" s="23"/>
      <c r="E1047" s="23"/>
      <c r="F1047" s="23"/>
      <c r="G1047" s="23"/>
      <c r="H1047" s="23"/>
      <c r="I1047" s="23"/>
      <c r="J1047" s="23"/>
    </row>
    <row r="1048" spans="2:10" s="8" customFormat="1">
      <c r="B1048" s="23"/>
      <c r="C1048" s="23"/>
      <c r="D1048" s="23"/>
      <c r="E1048" s="23"/>
      <c r="F1048" s="23"/>
      <c r="G1048" s="23"/>
      <c r="H1048" s="23"/>
      <c r="I1048" s="23"/>
      <c r="J1048" s="23"/>
    </row>
    <row r="1049" spans="2:10" s="8" customFormat="1">
      <c r="B1049" s="23"/>
      <c r="C1049" s="23"/>
      <c r="D1049" s="23"/>
      <c r="E1049" s="23"/>
      <c r="F1049" s="23"/>
      <c r="G1049" s="23"/>
      <c r="H1049" s="23"/>
      <c r="I1049" s="23"/>
      <c r="J1049" s="23"/>
    </row>
    <row r="1050" spans="2:10" s="8" customFormat="1">
      <c r="B1050" s="23"/>
      <c r="C1050" s="23"/>
      <c r="D1050" s="23"/>
      <c r="E1050" s="23"/>
      <c r="F1050" s="23"/>
      <c r="G1050" s="23"/>
      <c r="H1050" s="23"/>
      <c r="I1050" s="23"/>
      <c r="J1050" s="23"/>
    </row>
    <row r="1051" spans="2:10" s="8" customFormat="1">
      <c r="B1051" s="23"/>
      <c r="C1051" s="23"/>
      <c r="D1051" s="23"/>
      <c r="E1051" s="23"/>
      <c r="F1051" s="23"/>
      <c r="G1051" s="23"/>
      <c r="H1051" s="23"/>
      <c r="I1051" s="23"/>
      <c r="J1051" s="23"/>
    </row>
    <row r="1052" spans="2:10" s="8" customFormat="1">
      <c r="B1052" s="23"/>
      <c r="C1052" s="23"/>
      <c r="D1052" s="23"/>
      <c r="E1052" s="23"/>
      <c r="F1052" s="23"/>
      <c r="G1052" s="23"/>
      <c r="H1052" s="23"/>
      <c r="I1052" s="23"/>
      <c r="J1052" s="23"/>
    </row>
    <row r="1053" spans="2:10" s="8" customFormat="1">
      <c r="B1053" s="23"/>
      <c r="C1053" s="23"/>
      <c r="D1053" s="23"/>
      <c r="E1053" s="23"/>
      <c r="F1053" s="23"/>
      <c r="G1053" s="23"/>
      <c r="H1053" s="23"/>
      <c r="I1053" s="23"/>
      <c r="J1053" s="23"/>
    </row>
    <row r="1054" spans="2:10" s="8" customFormat="1">
      <c r="B1054" s="23"/>
      <c r="C1054" s="23"/>
      <c r="D1054" s="23"/>
      <c r="E1054" s="23"/>
      <c r="F1054" s="23"/>
      <c r="G1054" s="23"/>
      <c r="H1054" s="23"/>
      <c r="I1054" s="23"/>
      <c r="J1054" s="23"/>
    </row>
    <row r="1055" spans="2:10" s="8" customFormat="1">
      <c r="B1055" s="23"/>
      <c r="C1055" s="23"/>
      <c r="D1055" s="23"/>
      <c r="E1055" s="23"/>
      <c r="F1055" s="23"/>
      <c r="G1055" s="23"/>
      <c r="H1055" s="23"/>
      <c r="I1055" s="23"/>
      <c r="J1055" s="23"/>
    </row>
    <row r="1056" spans="2:10" s="8" customFormat="1">
      <c r="B1056" s="23"/>
      <c r="C1056" s="23"/>
      <c r="D1056" s="23"/>
      <c r="E1056" s="23"/>
      <c r="F1056" s="23"/>
      <c r="G1056" s="23"/>
      <c r="H1056" s="23"/>
      <c r="I1056" s="23"/>
      <c r="J1056" s="23"/>
    </row>
    <row r="1057" spans="2:10" s="8" customFormat="1">
      <c r="B1057" s="23"/>
      <c r="C1057" s="23"/>
      <c r="D1057" s="23"/>
      <c r="E1057" s="23"/>
      <c r="F1057" s="23"/>
      <c r="G1057" s="23"/>
      <c r="H1057" s="23"/>
      <c r="I1057" s="23"/>
      <c r="J1057" s="23"/>
    </row>
    <row r="1058" spans="2:10" s="8" customFormat="1">
      <c r="B1058" s="23"/>
      <c r="C1058" s="23"/>
      <c r="D1058" s="23"/>
      <c r="E1058" s="23"/>
      <c r="F1058" s="23"/>
      <c r="G1058" s="23"/>
      <c r="H1058" s="23"/>
      <c r="I1058" s="23"/>
      <c r="J1058" s="23"/>
    </row>
    <row r="1059" spans="2:10" s="8" customFormat="1">
      <c r="B1059" s="23"/>
      <c r="C1059" s="23"/>
      <c r="D1059" s="23"/>
      <c r="E1059" s="23"/>
      <c r="F1059" s="23"/>
      <c r="G1059" s="23"/>
      <c r="H1059" s="23"/>
      <c r="I1059" s="23"/>
      <c r="J1059" s="23"/>
    </row>
    <row r="1060" spans="2:10" s="8" customFormat="1">
      <c r="B1060" s="23"/>
      <c r="C1060" s="23"/>
      <c r="D1060" s="23"/>
      <c r="E1060" s="23"/>
      <c r="F1060" s="23"/>
      <c r="G1060" s="23"/>
      <c r="H1060" s="23"/>
      <c r="I1060" s="23"/>
      <c r="J1060" s="23"/>
    </row>
    <row r="1061" spans="2:10" s="8" customFormat="1">
      <c r="B1061" s="23"/>
      <c r="C1061" s="23"/>
      <c r="D1061" s="23"/>
      <c r="E1061" s="23"/>
      <c r="F1061" s="23"/>
      <c r="G1061" s="23"/>
      <c r="H1061" s="23"/>
      <c r="I1061" s="23"/>
      <c r="J1061" s="23"/>
    </row>
    <row r="1062" spans="2:10" s="8" customFormat="1">
      <c r="B1062" s="23"/>
      <c r="C1062" s="23"/>
      <c r="D1062" s="23"/>
      <c r="E1062" s="23"/>
      <c r="F1062" s="23"/>
      <c r="G1062" s="23"/>
      <c r="H1062" s="23"/>
      <c r="I1062" s="23"/>
      <c r="J1062" s="23"/>
    </row>
    <row r="1063" spans="2:10" s="8" customFormat="1">
      <c r="B1063" s="23"/>
      <c r="C1063" s="23"/>
      <c r="D1063" s="23"/>
      <c r="E1063" s="23"/>
      <c r="F1063" s="23"/>
      <c r="G1063" s="23"/>
      <c r="H1063" s="23"/>
      <c r="I1063" s="23"/>
      <c r="J1063" s="23"/>
    </row>
    <row r="1064" spans="2:10" s="8" customFormat="1">
      <c r="B1064" s="23"/>
      <c r="C1064" s="23"/>
      <c r="D1064" s="23"/>
      <c r="E1064" s="23"/>
      <c r="F1064" s="23"/>
      <c r="G1064" s="23"/>
      <c r="H1064" s="23"/>
      <c r="I1064" s="23"/>
      <c r="J1064" s="23"/>
    </row>
    <row r="1065" spans="2:10" s="8" customFormat="1">
      <c r="B1065" s="23"/>
      <c r="C1065" s="23"/>
      <c r="D1065" s="23"/>
      <c r="E1065" s="23"/>
      <c r="F1065" s="23"/>
      <c r="G1065" s="23"/>
      <c r="H1065" s="23"/>
      <c r="I1065" s="23"/>
      <c r="J1065" s="23"/>
    </row>
    <row r="1066" spans="2:10" s="8" customFormat="1">
      <c r="B1066" s="23"/>
      <c r="C1066" s="23"/>
      <c r="D1066" s="23"/>
      <c r="E1066" s="23"/>
      <c r="F1066" s="23"/>
      <c r="G1066" s="23"/>
      <c r="H1066" s="23"/>
      <c r="I1066" s="23"/>
      <c r="J1066" s="23"/>
    </row>
    <row r="1067" spans="2:10" s="8" customFormat="1">
      <c r="B1067" s="23"/>
      <c r="C1067" s="23"/>
      <c r="D1067" s="23"/>
      <c r="E1067" s="23"/>
      <c r="F1067" s="23"/>
      <c r="G1067" s="23"/>
      <c r="H1067" s="23"/>
      <c r="I1067" s="23"/>
      <c r="J1067" s="23"/>
    </row>
    <row r="1068" spans="2:10" s="8" customFormat="1">
      <c r="B1068" s="23"/>
      <c r="C1068" s="23"/>
      <c r="D1068" s="23"/>
      <c r="E1068" s="23"/>
      <c r="F1068" s="23"/>
      <c r="G1068" s="23"/>
      <c r="H1068" s="23"/>
      <c r="I1068" s="23"/>
      <c r="J1068" s="23"/>
    </row>
    <row r="1069" spans="2:10" s="8" customFormat="1">
      <c r="B1069" s="23"/>
      <c r="C1069" s="23"/>
      <c r="D1069" s="23"/>
      <c r="E1069" s="23"/>
      <c r="F1069" s="23"/>
      <c r="G1069" s="23"/>
      <c r="H1069" s="23"/>
      <c r="I1069" s="23"/>
      <c r="J1069" s="23"/>
    </row>
    <row r="1070" spans="2:10" s="8" customFormat="1">
      <c r="B1070" s="23"/>
      <c r="C1070" s="23"/>
      <c r="D1070" s="23"/>
      <c r="E1070" s="23"/>
      <c r="F1070" s="23"/>
      <c r="G1070" s="23"/>
      <c r="H1070" s="23"/>
      <c r="I1070" s="23"/>
      <c r="J1070" s="23"/>
    </row>
    <row r="1071" spans="2:10" s="8" customFormat="1">
      <c r="B1071" s="23"/>
      <c r="C1071" s="23"/>
      <c r="D1071" s="23"/>
      <c r="E1071" s="23"/>
      <c r="F1071" s="23"/>
      <c r="G1071" s="23"/>
      <c r="H1071" s="23"/>
      <c r="I1071" s="23"/>
      <c r="J1071" s="23"/>
    </row>
    <row r="1072" spans="2:10" s="8" customFormat="1">
      <c r="B1072" s="23"/>
      <c r="C1072" s="23"/>
      <c r="D1072" s="23"/>
      <c r="E1072" s="23"/>
      <c r="F1072" s="23"/>
      <c r="G1072" s="23"/>
      <c r="H1072" s="23"/>
      <c r="I1072" s="23"/>
      <c r="J1072" s="23"/>
    </row>
    <row r="1073" spans="2:10" s="8" customFormat="1">
      <c r="B1073" s="23"/>
      <c r="C1073" s="23"/>
      <c r="D1073" s="23"/>
      <c r="E1073" s="23"/>
      <c r="F1073" s="23"/>
      <c r="G1073" s="23"/>
      <c r="H1073" s="23"/>
      <c r="I1073" s="23"/>
      <c r="J1073" s="23"/>
    </row>
    <row r="1074" spans="2:10" s="8" customFormat="1">
      <c r="B1074" s="23"/>
      <c r="C1074" s="23"/>
      <c r="D1074" s="23"/>
      <c r="E1074" s="23"/>
      <c r="F1074" s="23"/>
      <c r="G1074" s="23"/>
      <c r="H1074" s="23"/>
      <c r="I1074" s="23"/>
      <c r="J1074" s="23"/>
    </row>
    <row r="1075" spans="2:10" s="8" customFormat="1">
      <c r="B1075" s="23"/>
      <c r="C1075" s="23"/>
      <c r="D1075" s="23"/>
      <c r="E1075" s="23"/>
      <c r="F1075" s="23"/>
      <c r="G1075" s="23"/>
      <c r="H1075" s="23"/>
      <c r="I1075" s="23"/>
      <c r="J1075" s="23"/>
    </row>
    <row r="1076" spans="2:10" s="8" customFormat="1">
      <c r="B1076" s="23"/>
      <c r="C1076" s="23"/>
      <c r="D1076" s="23"/>
      <c r="E1076" s="23"/>
      <c r="F1076" s="23"/>
      <c r="G1076" s="23"/>
      <c r="H1076" s="23"/>
      <c r="I1076" s="23"/>
      <c r="J1076" s="23"/>
    </row>
    <row r="1077" spans="2:10" s="8" customFormat="1">
      <c r="B1077" s="23"/>
      <c r="C1077" s="23"/>
      <c r="D1077" s="23"/>
      <c r="E1077" s="23"/>
      <c r="F1077" s="23"/>
      <c r="G1077" s="23"/>
      <c r="H1077" s="23"/>
      <c r="I1077" s="23"/>
      <c r="J1077" s="23"/>
    </row>
    <row r="1078" spans="2:10" s="8" customFormat="1">
      <c r="B1078" s="23"/>
      <c r="C1078" s="23"/>
      <c r="D1078" s="23"/>
      <c r="E1078" s="23"/>
      <c r="F1078" s="23"/>
      <c r="G1078" s="23"/>
      <c r="H1078" s="23"/>
      <c r="I1078" s="23"/>
      <c r="J1078" s="23"/>
    </row>
    <row r="1079" spans="2:10" s="8" customFormat="1">
      <c r="B1079" s="23"/>
      <c r="C1079" s="23"/>
      <c r="D1079" s="23"/>
      <c r="E1079" s="23"/>
      <c r="F1079" s="23"/>
      <c r="G1079" s="23"/>
      <c r="H1079" s="23"/>
      <c r="I1079" s="23"/>
      <c r="J1079" s="23"/>
    </row>
    <row r="1080" spans="2:10" s="8" customFormat="1">
      <c r="B1080" s="23"/>
      <c r="C1080" s="23"/>
      <c r="D1080" s="23"/>
      <c r="E1080" s="23"/>
      <c r="F1080" s="23"/>
      <c r="G1080" s="23"/>
      <c r="H1080" s="23"/>
      <c r="I1080" s="23"/>
      <c r="J1080" s="23"/>
    </row>
    <row r="1081" spans="2:10" s="8" customFormat="1">
      <c r="B1081" s="23"/>
      <c r="C1081" s="23"/>
      <c r="D1081" s="23"/>
      <c r="E1081" s="23"/>
      <c r="F1081" s="23"/>
      <c r="G1081" s="23"/>
      <c r="H1081" s="23"/>
      <c r="I1081" s="23"/>
      <c r="J1081" s="23"/>
    </row>
    <row r="1082" spans="2:10" s="8" customFormat="1">
      <c r="B1082" s="23"/>
      <c r="C1082" s="23"/>
      <c r="D1082" s="23"/>
      <c r="E1082" s="23"/>
      <c r="F1082" s="23"/>
      <c r="G1082" s="23"/>
      <c r="H1082" s="23"/>
      <c r="I1082" s="23"/>
      <c r="J1082" s="23"/>
    </row>
    <row r="1083" spans="2:10" s="8" customFormat="1">
      <c r="B1083" s="23"/>
      <c r="C1083" s="23"/>
      <c r="D1083" s="23"/>
      <c r="E1083" s="23"/>
      <c r="F1083" s="23"/>
      <c r="G1083" s="23"/>
      <c r="H1083" s="23"/>
      <c r="I1083" s="23"/>
      <c r="J1083" s="23"/>
    </row>
    <row r="1084" spans="2:10" s="8" customFormat="1">
      <c r="B1084" s="23"/>
      <c r="C1084" s="23"/>
      <c r="D1084" s="23"/>
      <c r="E1084" s="23"/>
      <c r="F1084" s="23"/>
      <c r="G1084" s="23"/>
      <c r="H1084" s="23"/>
      <c r="I1084" s="23"/>
      <c r="J1084" s="23"/>
    </row>
    <row r="1085" spans="2:10" s="8" customFormat="1">
      <c r="B1085" s="23"/>
      <c r="C1085" s="23"/>
      <c r="D1085" s="23"/>
      <c r="E1085" s="23"/>
      <c r="F1085" s="23"/>
      <c r="G1085" s="23"/>
      <c r="H1085" s="23"/>
      <c r="I1085" s="23"/>
      <c r="J1085" s="23"/>
    </row>
    <row r="1086" spans="2:10" s="8" customFormat="1">
      <c r="B1086" s="23"/>
      <c r="C1086" s="23"/>
      <c r="D1086" s="23"/>
      <c r="E1086" s="23"/>
      <c r="F1086" s="23"/>
      <c r="G1086" s="23"/>
      <c r="H1086" s="23"/>
      <c r="I1086" s="23"/>
      <c r="J1086" s="23"/>
    </row>
    <row r="1087" spans="2:10" s="8" customFormat="1">
      <c r="B1087" s="23"/>
      <c r="C1087" s="23"/>
      <c r="D1087" s="23"/>
      <c r="E1087" s="23"/>
      <c r="F1087" s="23"/>
      <c r="G1087" s="23"/>
      <c r="H1087" s="23"/>
      <c r="I1087" s="23"/>
      <c r="J1087" s="23"/>
    </row>
    <row r="1088" spans="2:10" s="8" customFormat="1">
      <c r="B1088" s="23"/>
      <c r="C1088" s="23"/>
      <c r="D1088" s="23"/>
      <c r="E1088" s="23"/>
      <c r="F1088" s="23"/>
      <c r="G1088" s="23"/>
      <c r="H1088" s="23"/>
      <c r="I1088" s="23"/>
      <c r="J1088" s="23"/>
    </row>
    <row r="1089" spans="2:10" s="8" customFormat="1">
      <c r="B1089" s="23"/>
      <c r="C1089" s="23"/>
      <c r="D1089" s="23"/>
      <c r="E1089" s="23"/>
      <c r="F1089" s="23"/>
      <c r="G1089" s="23"/>
      <c r="H1089" s="23"/>
      <c r="I1089" s="23"/>
      <c r="J1089" s="23"/>
    </row>
    <row r="1090" spans="2:10" s="8" customFormat="1">
      <c r="B1090" s="23"/>
      <c r="C1090" s="23"/>
      <c r="D1090" s="23"/>
      <c r="E1090" s="23"/>
      <c r="F1090" s="23"/>
      <c r="G1090" s="23"/>
      <c r="H1090" s="23"/>
      <c r="I1090" s="23"/>
      <c r="J1090" s="23"/>
    </row>
    <row r="1091" spans="2:10" s="8" customFormat="1">
      <c r="B1091" s="23"/>
      <c r="C1091" s="23"/>
      <c r="D1091" s="23"/>
      <c r="E1091" s="23"/>
      <c r="F1091" s="23"/>
      <c r="G1091" s="23"/>
      <c r="H1091" s="23"/>
      <c r="I1091" s="23"/>
      <c r="J1091" s="23"/>
    </row>
    <row r="1092" spans="2:10" s="8" customFormat="1">
      <c r="B1092" s="23"/>
      <c r="C1092" s="23"/>
      <c r="D1092" s="23"/>
      <c r="E1092" s="23"/>
      <c r="F1092" s="23"/>
      <c r="G1092" s="23"/>
      <c r="H1092" s="23"/>
      <c r="I1092" s="23"/>
      <c r="J1092" s="23"/>
    </row>
    <row r="1093" spans="2:10" s="8" customFormat="1">
      <c r="B1093" s="23"/>
      <c r="C1093" s="23"/>
      <c r="D1093" s="23"/>
      <c r="E1093" s="23"/>
      <c r="F1093" s="23"/>
      <c r="G1093" s="23"/>
      <c r="H1093" s="23"/>
      <c r="I1093" s="23"/>
      <c r="J1093" s="23"/>
    </row>
    <row r="1094" spans="2:10" s="8" customFormat="1">
      <c r="B1094" s="23"/>
      <c r="C1094" s="23"/>
      <c r="D1094" s="23"/>
      <c r="E1094" s="23"/>
      <c r="F1094" s="23"/>
      <c r="G1094" s="23"/>
      <c r="H1094" s="23"/>
      <c r="I1094" s="23"/>
      <c r="J1094" s="23"/>
    </row>
    <row r="1095" spans="2:10" s="8" customFormat="1">
      <c r="B1095" s="23"/>
      <c r="C1095" s="23"/>
      <c r="D1095" s="23"/>
      <c r="E1095" s="23"/>
      <c r="F1095" s="23"/>
      <c r="G1095" s="23"/>
      <c r="H1095" s="23"/>
      <c r="I1095" s="23"/>
      <c r="J1095" s="23"/>
    </row>
    <row r="1096" spans="2:10" s="8" customFormat="1">
      <c r="B1096" s="23"/>
      <c r="C1096" s="23"/>
      <c r="D1096" s="23"/>
      <c r="E1096" s="23"/>
      <c r="F1096" s="23"/>
      <c r="G1096" s="23"/>
      <c r="H1096" s="23"/>
      <c r="I1096" s="23"/>
      <c r="J1096" s="23"/>
    </row>
    <row r="1097" spans="2:10" s="8" customFormat="1">
      <c r="B1097" s="23"/>
      <c r="C1097" s="23"/>
      <c r="D1097" s="23"/>
      <c r="E1097" s="23"/>
      <c r="F1097" s="23"/>
      <c r="G1097" s="23"/>
      <c r="H1097" s="23"/>
      <c r="I1097" s="23"/>
      <c r="J1097" s="23"/>
    </row>
    <row r="1098" spans="2:10" s="8" customFormat="1">
      <c r="B1098" s="23"/>
      <c r="C1098" s="23"/>
      <c r="D1098" s="23"/>
      <c r="E1098" s="23"/>
      <c r="F1098" s="23"/>
      <c r="G1098" s="23"/>
      <c r="H1098" s="23"/>
      <c r="I1098" s="23"/>
      <c r="J1098" s="23"/>
    </row>
    <row r="1099" spans="2:10" s="8" customFormat="1">
      <c r="B1099" s="23"/>
      <c r="C1099" s="23"/>
      <c r="D1099" s="23"/>
      <c r="E1099" s="23"/>
      <c r="F1099" s="23"/>
      <c r="G1099" s="23"/>
      <c r="H1099" s="23"/>
      <c r="I1099" s="23"/>
      <c r="J1099" s="23"/>
    </row>
    <row r="1100" spans="2:10" s="8" customFormat="1">
      <c r="B1100" s="23"/>
      <c r="C1100" s="23"/>
      <c r="D1100" s="23"/>
      <c r="E1100" s="23"/>
      <c r="F1100" s="23"/>
      <c r="G1100" s="23"/>
      <c r="H1100" s="23"/>
      <c r="I1100" s="23"/>
      <c r="J1100" s="23"/>
    </row>
    <row r="1101" spans="2:10" s="8" customFormat="1">
      <c r="B1101" s="23"/>
      <c r="C1101" s="23"/>
      <c r="D1101" s="23"/>
      <c r="E1101" s="23"/>
      <c r="F1101" s="23"/>
      <c r="G1101" s="23"/>
      <c r="H1101" s="23"/>
      <c r="I1101" s="23"/>
      <c r="J1101" s="23"/>
    </row>
    <row r="1102" spans="2:10" s="8" customFormat="1">
      <c r="B1102" s="23"/>
      <c r="C1102" s="23"/>
      <c r="D1102" s="23"/>
      <c r="E1102" s="23"/>
      <c r="F1102" s="23"/>
      <c r="G1102" s="23"/>
      <c r="H1102" s="23"/>
      <c r="I1102" s="23"/>
      <c r="J1102" s="23"/>
    </row>
    <row r="1103" spans="2:10" s="8" customFormat="1">
      <c r="B1103" s="23"/>
      <c r="C1103" s="23"/>
      <c r="D1103" s="23"/>
      <c r="E1103" s="23"/>
      <c r="F1103" s="23"/>
      <c r="G1103" s="23"/>
      <c r="H1103" s="23"/>
      <c r="I1103" s="23"/>
      <c r="J1103" s="23"/>
    </row>
    <row r="1104" spans="2:10" s="8" customFormat="1">
      <c r="B1104" s="23"/>
      <c r="C1104" s="23"/>
      <c r="D1104" s="23"/>
      <c r="E1104" s="23"/>
      <c r="F1104" s="23"/>
      <c r="G1104" s="23"/>
      <c r="H1104" s="23"/>
      <c r="I1104" s="23"/>
      <c r="J1104" s="23"/>
    </row>
    <row r="1105" spans="2:10" s="8" customFormat="1">
      <c r="B1105" s="23"/>
      <c r="C1105" s="23"/>
      <c r="D1105" s="23"/>
      <c r="E1105" s="23"/>
      <c r="F1105" s="23"/>
      <c r="G1105" s="23"/>
      <c r="H1105" s="23"/>
      <c r="I1105" s="23"/>
      <c r="J1105" s="23"/>
    </row>
    <row r="1106" spans="2:10" s="8" customFormat="1">
      <c r="B1106" s="23"/>
      <c r="C1106" s="23"/>
      <c r="D1106" s="23"/>
      <c r="E1106" s="23"/>
      <c r="F1106" s="23"/>
      <c r="G1106" s="23"/>
      <c r="H1106" s="23"/>
      <c r="I1106" s="23"/>
      <c r="J1106" s="23"/>
    </row>
    <row r="1107" spans="2:10" s="8" customFormat="1">
      <c r="B1107" s="23"/>
      <c r="C1107" s="23"/>
      <c r="D1107" s="23"/>
      <c r="E1107" s="23"/>
      <c r="F1107" s="23"/>
      <c r="G1107" s="23"/>
      <c r="H1107" s="23"/>
      <c r="I1107" s="23"/>
      <c r="J1107" s="23"/>
    </row>
    <row r="1108" spans="2:10" s="8" customFormat="1">
      <c r="B1108" s="23"/>
      <c r="C1108" s="23"/>
      <c r="D1108" s="23"/>
      <c r="E1108" s="23"/>
      <c r="F1108" s="23"/>
      <c r="G1108" s="23"/>
      <c r="H1108" s="23"/>
      <c r="I1108" s="23"/>
      <c r="J1108" s="23"/>
    </row>
    <row r="1109" spans="2:10" s="8" customFormat="1">
      <c r="B1109" s="23"/>
      <c r="C1109" s="23"/>
      <c r="D1109" s="23"/>
      <c r="E1109" s="23"/>
      <c r="F1109" s="23"/>
      <c r="G1109" s="23"/>
      <c r="H1109" s="23"/>
      <c r="I1109" s="23"/>
      <c r="J1109" s="23"/>
    </row>
    <row r="1110" spans="2:10" s="8" customFormat="1">
      <c r="B1110" s="23"/>
      <c r="C1110" s="23"/>
      <c r="D1110" s="23"/>
      <c r="E1110" s="23"/>
      <c r="F1110" s="23"/>
      <c r="G1110" s="23"/>
      <c r="H1110" s="23"/>
      <c r="I1110" s="23"/>
      <c r="J1110" s="23"/>
    </row>
  </sheetData>
  <printOptions horizontalCentered="1"/>
  <pageMargins left="0.59055118110236227" right="0.59055118110236227" top="0.86614173228346458" bottom="0.59055118110236227" header="0.51181102362204722" footer="0.51181102362204722"/>
  <pageSetup paperSize="9" scale="93" orientation="landscape" r:id="rId1"/>
  <headerFooter alignWithMargins="0">
    <oddHeader xml:space="preserve">&amp;CSTRABAG Group&amp;"Arial,Fett"
</oddHeader>
  </headerFooter>
  <rowBreaks count="6" manualBreakCount="6">
    <brk id="36" max="9" man="1"/>
    <brk id="80" max="11" man="1"/>
    <brk id="105" max="11" man="1"/>
    <brk id="125" max="11" man="1"/>
    <brk id="158" max="11" man="1"/>
    <brk id="1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1"/>
  <sheetViews>
    <sheetView view="pageBreakPreview" zoomScaleNormal="100" zoomScaleSheetLayoutView="100" workbookViewId="0">
      <pane xSplit="1" ySplit="1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baseColWidth="10" defaultColWidth="20.54296875" defaultRowHeight="12" customHeight="1" outlineLevelRow="1"/>
  <cols>
    <col min="1" max="1" width="20.54296875" style="26" customWidth="1"/>
    <col min="2" max="10" width="10.81640625" style="27" customWidth="1"/>
    <col min="11" max="16384" width="20.54296875" style="26"/>
  </cols>
  <sheetData>
    <row r="1" spans="1:13" s="25" customFormat="1" ht="24.75" customHeight="1">
      <c r="A1" s="24" t="s">
        <v>115</v>
      </c>
      <c r="B1" s="152">
        <v>2019</v>
      </c>
      <c r="C1" s="152" t="s">
        <v>156</v>
      </c>
      <c r="D1" s="152">
        <v>2018</v>
      </c>
      <c r="E1" s="152" t="s">
        <v>151</v>
      </c>
      <c r="F1" s="152">
        <v>2017</v>
      </c>
      <c r="G1" s="152" t="s">
        <v>135</v>
      </c>
      <c r="H1" s="152">
        <v>2016</v>
      </c>
      <c r="I1" s="152" t="s">
        <v>130</v>
      </c>
      <c r="J1" s="1">
        <v>2015</v>
      </c>
    </row>
    <row r="2" spans="1:13" ht="3" hidden="1" customHeight="1" outlineLevel="1"/>
    <row r="3" spans="1:13" s="30" customFormat="1" ht="10.4" customHeight="1" collapsed="1">
      <c r="A3" s="28" t="s">
        <v>1</v>
      </c>
      <c r="B3" s="227">
        <f>B71</f>
        <v>8106.93</v>
      </c>
      <c r="C3" s="306">
        <f>IF((+B3/D3)&lt;0,"n.m.",IF(B3&lt;0,(+B3/D3-1)*-1,(+B3/D3-1)))</f>
        <v>3.5701145196155082E-2</v>
      </c>
      <c r="D3" s="227">
        <f>D71</f>
        <v>7827.48</v>
      </c>
      <c r="E3" s="306">
        <f>IF((+D3/F3)&lt;0,"n.m.",IF(D3&lt;0,(+D3/F3-1)*-1,(+D3/F3-1)))</f>
        <v>0.14380655116784746</v>
      </c>
      <c r="F3" s="266">
        <f>F71</f>
        <v>6843.36</v>
      </c>
      <c r="G3" s="306">
        <f>IF((+F3/H3)&lt;0,"n.m.",IF(F3&lt;0,(+F3/H3-1)*-1,(+F3/H3-1)))</f>
        <v>0.10825258991629028</v>
      </c>
      <c r="H3" s="214">
        <f>H71</f>
        <v>6174.91</v>
      </c>
      <c r="I3" s="278">
        <f t="shared" ref="I3:I7" si="0">IF((+H3/J3)&lt;0,"n.m.",IF(H3&lt;0,(+H3/J3-1)*-1,(+H3/J3-1)))</f>
        <v>-3.0382827711827098E-2</v>
      </c>
      <c r="J3" s="29">
        <f>J71</f>
        <v>6368.4</v>
      </c>
    </row>
    <row r="4" spans="1:13" s="30" customFormat="1" ht="10.4" customHeight="1">
      <c r="A4" s="28" t="s">
        <v>2</v>
      </c>
      <c r="B4" s="227">
        <f>B101</f>
        <v>8807.66</v>
      </c>
      <c r="C4" s="306">
        <f t="shared" ref="C4:C7" si="1">IF((+B4/D4)&lt;0,"n.m.",IF(B4&lt;0,(+B4/D4-1)*-1,(+B4/D4-1)))</f>
        <v>3.9867562456330496E-4</v>
      </c>
      <c r="D4" s="227">
        <f>D101</f>
        <v>8804.1500000000015</v>
      </c>
      <c r="E4" s="306">
        <f t="shared" ref="E4:E7" si="2">IF((+D4/F4)&lt;0,"n.m.",IF(D4&lt;0,(+D4/F4-1)*-1,(+D4/F4-1)))</f>
        <v>8.1848745278358948E-2</v>
      </c>
      <c r="F4" s="266">
        <f>F101</f>
        <v>8138.06</v>
      </c>
      <c r="G4" s="306">
        <f t="shared" ref="G4:G67" si="3">IF((+F4/H4)&lt;0,"n.m.",IF(F4&lt;0,(+F4/H4-1)*-1,(+F4/H4-1)))</f>
        <v>0.15755126656909058</v>
      </c>
      <c r="H4" s="214">
        <f>H101</f>
        <v>7030.41</v>
      </c>
      <c r="I4" s="278">
        <f t="shared" si="0"/>
        <v>0.30254286746519199</v>
      </c>
      <c r="J4" s="29">
        <f>J101</f>
        <v>5397.45</v>
      </c>
    </row>
    <row r="5" spans="1:13" s="30" customFormat="1" ht="10.4" customHeight="1">
      <c r="A5" s="28" t="s">
        <v>3</v>
      </c>
      <c r="B5" s="227">
        <v>7555.75</v>
      </c>
      <c r="C5" s="306">
        <f t="shared" si="1"/>
        <v>4.3263739613963015E-2</v>
      </c>
      <c r="D5" s="227">
        <v>7242.4160000000002</v>
      </c>
      <c r="E5" s="306">
        <f t="shared" si="2"/>
        <v>0.13554691113546613</v>
      </c>
      <c r="F5" s="266">
        <v>6377.91</v>
      </c>
      <c r="G5" s="306">
        <f t="shared" si="3"/>
        <v>9.9177242677218613E-2</v>
      </c>
      <c r="H5" s="220">
        <v>5802.44</v>
      </c>
      <c r="I5" s="278">
        <f t="shared" si="0"/>
        <v>-1.5718138793235137E-2</v>
      </c>
      <c r="J5" s="29">
        <v>5895.1</v>
      </c>
    </row>
    <row r="6" spans="1:13" s="30" customFormat="1" ht="10.4" customHeight="1">
      <c r="A6" s="28" t="s">
        <v>116</v>
      </c>
      <c r="B6" s="227">
        <v>310.2</v>
      </c>
      <c r="C6" s="306">
        <f t="shared" si="1"/>
        <v>0.9219569015725102</v>
      </c>
      <c r="D6" s="227">
        <v>161.398</v>
      </c>
      <c r="E6" s="306">
        <f t="shared" si="2"/>
        <v>-0.18997239648682562</v>
      </c>
      <c r="F6" s="266">
        <v>199.25</v>
      </c>
      <c r="G6" s="306">
        <f t="shared" si="3"/>
        <v>0.17281770557419507</v>
      </c>
      <c r="H6" s="220">
        <v>169.89</v>
      </c>
      <c r="I6" s="278">
        <f t="shared" si="0"/>
        <v>0.6153846153846152</v>
      </c>
      <c r="J6" s="29">
        <v>105.17</v>
      </c>
    </row>
    <row r="7" spans="1:13" s="30" customFormat="1" ht="10.4" customHeight="1">
      <c r="A7" s="28" t="s">
        <v>126</v>
      </c>
      <c r="B7" s="227">
        <v>310.2</v>
      </c>
      <c r="C7" s="306">
        <f t="shared" si="1"/>
        <v>0.9219569015725102</v>
      </c>
      <c r="D7" s="227">
        <v>161.398</v>
      </c>
      <c r="E7" s="306">
        <f t="shared" si="2"/>
        <v>-0.18997239648682562</v>
      </c>
      <c r="F7" s="266">
        <v>199.25</v>
      </c>
      <c r="G7" s="306">
        <f t="shared" si="3"/>
        <v>0.17281770557419507</v>
      </c>
      <c r="H7" s="220">
        <v>169.89</v>
      </c>
      <c r="I7" s="278">
        <f t="shared" si="0"/>
        <v>0.6153846153846152</v>
      </c>
      <c r="J7" s="29">
        <v>105.17</v>
      </c>
    </row>
    <row r="8" spans="1:13" ht="10.4" customHeight="1">
      <c r="A8" s="31" t="s">
        <v>117</v>
      </c>
      <c r="B8" s="215">
        <f>B6/B5</f>
        <v>4.1054825794924393E-2</v>
      </c>
      <c r="C8" s="307"/>
      <c r="D8" s="215">
        <f>D6/D5</f>
        <v>2.2285104860035654E-2</v>
      </c>
      <c r="E8" s="307"/>
      <c r="F8" s="32">
        <f>F6/F5</f>
        <v>3.1240641526769742E-2</v>
      </c>
      <c r="G8" s="307"/>
      <c r="H8" s="215">
        <f>H6/H5</f>
        <v>2.9279061911885344E-2</v>
      </c>
      <c r="I8" s="32"/>
      <c r="J8" s="32">
        <f>J6/J5</f>
        <v>1.7840240199487708E-2</v>
      </c>
    </row>
    <row r="9" spans="1:13" ht="10.4" customHeight="1">
      <c r="A9" s="31" t="s">
        <v>118</v>
      </c>
      <c r="B9" s="216">
        <f>B3/Group!B2</f>
        <v>0.48784117434319596</v>
      </c>
      <c r="C9" s="307"/>
      <c r="D9" s="216">
        <f>D3/Group!D2</f>
        <v>0.47954037522790088</v>
      </c>
      <c r="E9" s="307"/>
      <c r="F9" s="33">
        <f>F3/Group!F2</f>
        <v>0.46805358634118716</v>
      </c>
      <c r="G9" s="307"/>
      <c r="H9" s="216">
        <f>H3/Group!H2</f>
        <v>0.45770486019229067</v>
      </c>
      <c r="I9" s="33"/>
      <c r="J9" s="33">
        <f>J3/Group!J2</f>
        <v>0.44566178858147371</v>
      </c>
    </row>
    <row r="10" spans="1:13" ht="10.4" customHeight="1">
      <c r="A10" s="31" t="s">
        <v>119</v>
      </c>
      <c r="B10" s="216">
        <f>B4/Group!B3</f>
        <v>0.50585360922793465</v>
      </c>
      <c r="C10" s="307"/>
      <c r="D10" s="216">
        <f>D4/Group!D3</f>
        <v>0.52096456093033561</v>
      </c>
      <c r="E10" s="307"/>
      <c r="F10" s="33">
        <f>F4/Group!F3</f>
        <v>0.49048479767500597</v>
      </c>
      <c r="G10" s="307"/>
      <c r="H10" s="216">
        <f>H4/Group!H3</f>
        <v>0.47452143962623661</v>
      </c>
      <c r="I10" s="33"/>
      <c r="J10" s="33">
        <f>J4/Group!J3</f>
        <v>0.41093434278065988</v>
      </c>
    </row>
    <row r="11" spans="1:13" ht="10.4" customHeight="1">
      <c r="A11" s="31"/>
      <c r="B11" s="389"/>
      <c r="C11" s="307"/>
      <c r="D11" s="389"/>
      <c r="E11" s="307"/>
      <c r="F11" s="34"/>
      <c r="G11" s="307"/>
      <c r="H11" s="34"/>
      <c r="I11" s="34"/>
      <c r="J11" s="34"/>
    </row>
    <row r="12" spans="1:13" s="30" customFormat="1" ht="10.4" customHeight="1">
      <c r="A12" s="35" t="s">
        <v>85</v>
      </c>
      <c r="B12" s="36"/>
      <c r="C12" s="307"/>
      <c r="D12" s="36"/>
      <c r="E12" s="307"/>
      <c r="F12" s="36"/>
      <c r="G12" s="307"/>
      <c r="H12" s="36"/>
      <c r="I12" s="36"/>
      <c r="J12" s="36"/>
    </row>
    <row r="13" spans="1:13" s="2" customFormat="1" ht="10.5">
      <c r="A13" s="37" t="s">
        <v>86</v>
      </c>
      <c r="B13" s="221">
        <v>19078</v>
      </c>
      <c r="C13" s="307">
        <f>IF((+B13/D13)&lt;0,"n.m.",IF(B13&lt;0,(+B13/D13-1)*-1,(+B13/D13-1)))</f>
        <v>4.3483017010337521E-2</v>
      </c>
      <c r="D13" s="221">
        <v>18283</v>
      </c>
      <c r="E13" s="307">
        <f>IF((+D13/F13)&lt;0,"n.m.",IF(D13&lt;0,(+D13/F13-1)*-1,(+D13/F13-1)))</f>
        <v>3.1131915853589653E-2</v>
      </c>
      <c r="F13" s="38">
        <v>17731</v>
      </c>
      <c r="G13" s="307">
        <f t="shared" si="3"/>
        <v>6.3711080448737079E-2</v>
      </c>
      <c r="H13" s="221">
        <v>16669</v>
      </c>
      <c r="I13" s="267">
        <f>IF((+H13/J13)&lt;0,"n.m.",IF(H13&lt;0,(+H13/J13-1)*-1,(+H13/J13-1)))</f>
        <v>6.6034337855680469E-4</v>
      </c>
      <c r="J13" s="38">
        <v>16658</v>
      </c>
      <c r="K13" s="4"/>
      <c r="L13" s="4"/>
      <c r="M13" s="4"/>
    </row>
    <row r="14" spans="1:13" s="2" customFormat="1" ht="10.5">
      <c r="A14" s="37" t="s">
        <v>87</v>
      </c>
      <c r="B14" s="221">
        <v>102</v>
      </c>
      <c r="C14" s="307">
        <f t="shared" ref="C14:C33" si="4">IF((+B14/D14)&lt;0,"n.m.",IF(B14&lt;0,(+B14/D14-1)*-1,(+B14/D14-1)))</f>
        <v>-1.9230769230769273E-2</v>
      </c>
      <c r="D14" s="221">
        <v>104</v>
      </c>
      <c r="E14" s="307">
        <f t="shared" ref="E14:E40" si="5">IF((+D14/F14)&lt;0,"n.m.",IF(D14&lt;0,(+D14/F14-1)*-1,(+D14/F14-1)))</f>
        <v>4.0000000000000036E-2</v>
      </c>
      <c r="F14" s="38">
        <v>100</v>
      </c>
      <c r="G14" s="307">
        <f t="shared" si="3"/>
        <v>-9.9009900990099098E-3</v>
      </c>
      <c r="H14" s="221">
        <v>101</v>
      </c>
      <c r="I14" s="267">
        <f t="shared" ref="I14:I40" si="6">IF((+H14/J14)&lt;0,"n.m.",IF(H14&lt;0,(+H14/J14-1)*-1,(+H14/J14-1)))</f>
        <v>-0.12931034482758619</v>
      </c>
      <c r="J14" s="38">
        <v>116</v>
      </c>
      <c r="K14" s="4"/>
      <c r="L14" s="4"/>
      <c r="M14" s="4"/>
    </row>
    <row r="15" spans="1:13" s="2" customFormat="1" ht="10.5">
      <c r="A15" s="37" t="s">
        <v>88</v>
      </c>
      <c r="B15" s="221">
        <v>4648</v>
      </c>
      <c r="C15" s="307">
        <f t="shared" si="4"/>
        <v>0.12651478429471652</v>
      </c>
      <c r="D15" s="221">
        <v>4126</v>
      </c>
      <c r="E15" s="307">
        <f t="shared" si="5"/>
        <v>0.12763050013664934</v>
      </c>
      <c r="F15" s="38">
        <v>3659</v>
      </c>
      <c r="G15" s="307">
        <f t="shared" si="3"/>
        <v>5.5379290452841179E-2</v>
      </c>
      <c r="H15" s="221">
        <v>3467</v>
      </c>
      <c r="I15" s="267">
        <f t="shared" si="6"/>
        <v>2.6650873556411048E-2</v>
      </c>
      <c r="J15" s="38">
        <v>3377</v>
      </c>
      <c r="K15" s="4"/>
      <c r="L15" s="4"/>
      <c r="M15" s="4"/>
    </row>
    <row r="16" spans="1:13" s="2" customFormat="1" ht="10.5">
      <c r="A16" s="37" t="s">
        <v>89</v>
      </c>
      <c r="B16" s="221">
        <v>57</v>
      </c>
      <c r="C16" s="307">
        <f t="shared" si="4"/>
        <v>0</v>
      </c>
      <c r="D16" s="221">
        <v>57</v>
      </c>
      <c r="E16" s="307">
        <f t="shared" si="5"/>
        <v>1.7857142857142794E-2</v>
      </c>
      <c r="F16" s="38">
        <v>56</v>
      </c>
      <c r="G16" s="307">
        <f t="shared" si="3"/>
        <v>55</v>
      </c>
      <c r="H16" s="221">
        <v>1</v>
      </c>
      <c r="I16" s="267">
        <f t="shared" si="6"/>
        <v>0</v>
      </c>
      <c r="J16" s="38">
        <v>1</v>
      </c>
      <c r="K16" s="4"/>
      <c r="L16" s="4"/>
      <c r="M16" s="4"/>
    </row>
    <row r="17" spans="1:13" s="6" customFormat="1" ht="10">
      <c r="A17" s="37" t="s">
        <v>90</v>
      </c>
      <c r="B17" s="221">
        <v>4</v>
      </c>
      <c r="C17" s="307">
        <f t="shared" si="4"/>
        <v>-0.4285714285714286</v>
      </c>
      <c r="D17" s="221">
        <v>7</v>
      </c>
      <c r="E17" s="307">
        <f t="shared" si="5"/>
        <v>-0.36363636363636365</v>
      </c>
      <c r="F17" s="38">
        <v>11</v>
      </c>
      <c r="G17" s="307">
        <f t="shared" si="3"/>
        <v>1.2000000000000002</v>
      </c>
      <c r="H17" s="221">
        <v>5</v>
      </c>
      <c r="I17" s="267">
        <f t="shared" si="6"/>
        <v>4</v>
      </c>
      <c r="J17" s="38">
        <v>1</v>
      </c>
      <c r="K17" s="8"/>
      <c r="L17" s="8"/>
      <c r="M17" s="8"/>
    </row>
    <row r="18" spans="1:13" s="6" customFormat="1" ht="10">
      <c r="A18" s="37" t="s">
        <v>132</v>
      </c>
      <c r="B18" s="221">
        <v>0</v>
      </c>
      <c r="C18" s="307"/>
      <c r="D18" s="221">
        <v>0</v>
      </c>
      <c r="E18" s="307"/>
      <c r="F18" s="38">
        <v>0</v>
      </c>
      <c r="G18" s="307">
        <f t="shared" si="3"/>
        <v>-1</v>
      </c>
      <c r="H18" s="221">
        <v>128</v>
      </c>
      <c r="I18" s="267">
        <f t="shared" si="6"/>
        <v>-0.19999999999999996</v>
      </c>
      <c r="J18" s="38">
        <v>160</v>
      </c>
      <c r="K18" s="8"/>
      <c r="L18" s="8"/>
      <c r="M18" s="8"/>
    </row>
    <row r="19" spans="1:13" s="6" customFormat="1" ht="10">
      <c r="A19" s="37" t="s">
        <v>91</v>
      </c>
      <c r="B19" s="221">
        <v>0</v>
      </c>
      <c r="C19" s="307"/>
      <c r="D19" s="221">
        <v>0</v>
      </c>
      <c r="E19" s="307"/>
      <c r="F19" s="38">
        <v>0</v>
      </c>
      <c r="G19" s="307"/>
      <c r="H19" s="221">
        <v>0</v>
      </c>
      <c r="I19" s="267"/>
      <c r="J19" s="38">
        <v>0</v>
      </c>
      <c r="K19" s="8"/>
      <c r="L19" s="8"/>
      <c r="M19" s="8"/>
    </row>
    <row r="20" spans="1:13" s="6" customFormat="1" ht="10">
      <c r="A20" s="37" t="s">
        <v>92</v>
      </c>
      <c r="B20" s="221">
        <v>100</v>
      </c>
      <c r="C20" s="307">
        <f t="shared" si="4"/>
        <v>0.14942528735632177</v>
      </c>
      <c r="D20" s="221">
        <v>87</v>
      </c>
      <c r="E20" s="307">
        <f t="shared" si="5"/>
        <v>0.26086956521739135</v>
      </c>
      <c r="F20" s="38">
        <v>69</v>
      </c>
      <c r="G20" s="307">
        <f t="shared" si="3"/>
        <v>9.5238095238095344E-2</v>
      </c>
      <c r="H20" s="221">
        <v>63</v>
      </c>
      <c r="I20" s="267">
        <f t="shared" si="6"/>
        <v>-0.13698630136986301</v>
      </c>
      <c r="J20" s="38">
        <v>73</v>
      </c>
      <c r="K20" s="8"/>
      <c r="L20" s="8"/>
      <c r="M20" s="8"/>
    </row>
    <row r="21" spans="1:13" s="6" customFormat="1" ht="10">
      <c r="A21" s="37" t="s">
        <v>93</v>
      </c>
      <c r="B21" s="221">
        <v>1</v>
      </c>
      <c r="C21" s="307">
        <f t="shared" si="4"/>
        <v>-0.5</v>
      </c>
      <c r="D21" s="221">
        <v>2</v>
      </c>
      <c r="E21" s="307"/>
      <c r="F21" s="38">
        <v>0</v>
      </c>
      <c r="G21" s="307"/>
      <c r="H21" s="221">
        <v>0</v>
      </c>
      <c r="I21" s="267"/>
      <c r="J21" s="38">
        <v>0</v>
      </c>
      <c r="K21" s="8"/>
      <c r="L21" s="8"/>
      <c r="M21" s="8"/>
    </row>
    <row r="22" spans="1:13" s="6" customFormat="1" ht="10">
      <c r="A22" s="37" t="s">
        <v>94</v>
      </c>
      <c r="B22" s="221">
        <v>0</v>
      </c>
      <c r="C22" s="307"/>
      <c r="D22" s="221">
        <v>0</v>
      </c>
      <c r="E22" s="307"/>
      <c r="F22" s="38">
        <v>0</v>
      </c>
      <c r="G22" s="307"/>
      <c r="H22" s="221">
        <v>0</v>
      </c>
      <c r="I22" s="267"/>
      <c r="J22" s="38">
        <v>0</v>
      </c>
      <c r="K22" s="8"/>
      <c r="L22" s="8"/>
      <c r="M22" s="8"/>
    </row>
    <row r="23" spans="1:13" s="6" customFormat="1" ht="10">
      <c r="A23" s="37" t="s">
        <v>95</v>
      </c>
      <c r="B23" s="221">
        <v>0</v>
      </c>
      <c r="C23" s="307"/>
      <c r="D23" s="221">
        <v>0</v>
      </c>
      <c r="E23" s="307"/>
      <c r="F23" s="38">
        <v>0</v>
      </c>
      <c r="G23" s="307"/>
      <c r="H23" s="221">
        <v>0</v>
      </c>
      <c r="I23" s="267"/>
      <c r="J23" s="38">
        <v>0</v>
      </c>
      <c r="K23" s="8"/>
      <c r="L23" s="8"/>
      <c r="M23" s="8"/>
    </row>
    <row r="24" spans="1:13" s="6" customFormat="1" ht="10">
      <c r="A24" s="37" t="s">
        <v>96</v>
      </c>
      <c r="B24" s="221">
        <v>0</v>
      </c>
      <c r="C24" s="307">
        <f t="shared" si="4"/>
        <v>-1</v>
      </c>
      <c r="D24" s="221">
        <v>1</v>
      </c>
      <c r="E24" s="307"/>
      <c r="F24" s="38">
        <v>0</v>
      </c>
      <c r="G24" s="307"/>
      <c r="H24" s="221">
        <v>0</v>
      </c>
      <c r="I24" s="267"/>
      <c r="J24" s="38">
        <v>0</v>
      </c>
      <c r="K24" s="8"/>
      <c r="L24" s="8"/>
      <c r="M24" s="8"/>
    </row>
    <row r="25" spans="1:13" s="6" customFormat="1" ht="10">
      <c r="A25" s="37" t="s">
        <v>97</v>
      </c>
      <c r="B25" s="221">
        <v>68</v>
      </c>
      <c r="C25" s="307">
        <f t="shared" si="4"/>
        <v>-0.10526315789473684</v>
      </c>
      <c r="D25" s="221">
        <v>76</v>
      </c>
      <c r="E25" s="307">
        <f t="shared" si="5"/>
        <v>-2.5641025641025661E-2</v>
      </c>
      <c r="F25" s="38">
        <v>78</v>
      </c>
      <c r="G25" s="307">
        <f t="shared" si="3"/>
        <v>-3.703703703703709E-2</v>
      </c>
      <c r="H25" s="221">
        <v>81</v>
      </c>
      <c r="I25" s="267">
        <f t="shared" si="6"/>
        <v>-4.705882352941182E-2</v>
      </c>
      <c r="J25" s="38">
        <v>85</v>
      </c>
      <c r="K25" s="8"/>
      <c r="L25" s="8"/>
      <c r="M25" s="8"/>
    </row>
    <row r="26" spans="1:13" s="6" customFormat="1" ht="10">
      <c r="A26" s="37" t="s">
        <v>98</v>
      </c>
      <c r="B26" s="174">
        <v>495</v>
      </c>
      <c r="C26" s="307">
        <f t="shared" si="4"/>
        <v>-2.1739130434782594E-2</v>
      </c>
      <c r="D26" s="174">
        <v>506</v>
      </c>
      <c r="E26" s="307">
        <f t="shared" si="5"/>
        <v>-1.9379844961240345E-2</v>
      </c>
      <c r="F26" s="40">
        <v>516</v>
      </c>
      <c r="G26" s="307">
        <f t="shared" si="3"/>
        <v>1.9417475728156219E-3</v>
      </c>
      <c r="H26" s="222">
        <v>515</v>
      </c>
      <c r="I26" s="267">
        <f t="shared" si="6"/>
        <v>-0.11663807890222988</v>
      </c>
      <c r="J26" s="40">
        <v>583</v>
      </c>
      <c r="K26" s="8"/>
      <c r="L26" s="8"/>
      <c r="M26" s="8"/>
    </row>
    <row r="27" spans="1:13" s="6" customFormat="1" ht="10">
      <c r="A27" s="37" t="s">
        <v>99</v>
      </c>
      <c r="B27" s="221">
        <v>345</v>
      </c>
      <c r="C27" s="307">
        <f t="shared" si="4"/>
        <v>-4.166666666666663E-2</v>
      </c>
      <c r="D27" s="221">
        <v>360</v>
      </c>
      <c r="E27" s="307">
        <f t="shared" si="5"/>
        <v>-1.3698630136986356E-2</v>
      </c>
      <c r="F27" s="38">
        <v>365</v>
      </c>
      <c r="G27" s="307">
        <f t="shared" si="3"/>
        <v>-1.0840108401083959E-2</v>
      </c>
      <c r="H27" s="221">
        <v>369</v>
      </c>
      <c r="I27" s="267">
        <f t="shared" si="6"/>
        <v>-0.12142857142857144</v>
      </c>
      <c r="J27" s="38">
        <v>420</v>
      </c>
      <c r="K27" s="8"/>
      <c r="L27" s="8"/>
      <c r="M27" s="8"/>
    </row>
    <row r="28" spans="1:13" s="2" customFormat="1" ht="10.5">
      <c r="A28" s="37" t="s">
        <v>100</v>
      </c>
      <c r="B28" s="221">
        <v>4</v>
      </c>
      <c r="C28" s="307">
        <f t="shared" si="4"/>
        <v>0</v>
      </c>
      <c r="D28" s="221">
        <v>4</v>
      </c>
      <c r="E28" s="307">
        <f t="shared" si="5"/>
        <v>0.33333333333333326</v>
      </c>
      <c r="F28" s="38">
        <v>3</v>
      </c>
      <c r="G28" s="307">
        <f t="shared" si="3"/>
        <v>0.5</v>
      </c>
      <c r="H28" s="221">
        <v>2</v>
      </c>
      <c r="I28" s="267">
        <f t="shared" si="6"/>
        <v>-0.5</v>
      </c>
      <c r="J28" s="38">
        <v>4</v>
      </c>
      <c r="K28" s="4"/>
      <c r="L28" s="4"/>
      <c r="M28" s="4"/>
    </row>
    <row r="29" spans="1:13" s="6" customFormat="1" ht="10">
      <c r="A29" s="37" t="s">
        <v>101</v>
      </c>
      <c r="B29" s="221">
        <v>278</v>
      </c>
      <c r="C29" s="307">
        <f t="shared" si="4"/>
        <v>1.4598540145985384E-2</v>
      </c>
      <c r="D29" s="221">
        <v>274</v>
      </c>
      <c r="E29" s="307">
        <f t="shared" si="5"/>
        <v>-0.21264367816091956</v>
      </c>
      <c r="F29" s="38">
        <v>348</v>
      </c>
      <c r="G29" s="307">
        <f t="shared" si="3"/>
        <v>-0.27348643006263051</v>
      </c>
      <c r="H29" s="221">
        <v>479</v>
      </c>
      <c r="I29" s="267">
        <f t="shared" si="6"/>
        <v>-6.262230919765166E-2</v>
      </c>
      <c r="J29" s="38">
        <v>511</v>
      </c>
      <c r="K29" s="8"/>
      <c r="L29" s="8"/>
      <c r="M29" s="8"/>
    </row>
    <row r="30" spans="1:13" s="6" customFormat="1" ht="10">
      <c r="A30" s="37" t="s">
        <v>102</v>
      </c>
      <c r="B30" s="221">
        <v>179</v>
      </c>
      <c r="C30" s="307">
        <f t="shared" si="4"/>
        <v>-0.16744186046511633</v>
      </c>
      <c r="D30" s="221">
        <v>215</v>
      </c>
      <c r="E30" s="307">
        <f t="shared" si="5"/>
        <v>-8.8983050847457612E-2</v>
      </c>
      <c r="F30" s="38">
        <v>236</v>
      </c>
      <c r="G30" s="307">
        <f t="shared" si="3"/>
        <v>0.81538461538461537</v>
      </c>
      <c r="H30" s="221">
        <v>130</v>
      </c>
      <c r="I30" s="267">
        <f t="shared" si="6"/>
        <v>-0.19753086419753085</v>
      </c>
      <c r="J30" s="38">
        <v>162</v>
      </c>
      <c r="K30" s="8"/>
      <c r="L30" s="8"/>
      <c r="M30" s="8"/>
    </row>
    <row r="31" spans="1:13" s="6" customFormat="1" ht="10">
      <c r="A31" s="37" t="s">
        <v>103</v>
      </c>
      <c r="B31" s="221">
        <v>12</v>
      </c>
      <c r="C31" s="307">
        <f t="shared" si="4"/>
        <v>-0.83098591549295775</v>
      </c>
      <c r="D31" s="221">
        <v>71</v>
      </c>
      <c r="E31" s="307">
        <f t="shared" si="5"/>
        <v>-0.18390804597701149</v>
      </c>
      <c r="F31" s="38">
        <v>87</v>
      </c>
      <c r="G31" s="307">
        <f t="shared" si="3"/>
        <v>-0.11224489795918369</v>
      </c>
      <c r="H31" s="221">
        <v>98</v>
      </c>
      <c r="I31" s="267">
        <f t="shared" si="6"/>
        <v>-0.48691099476439792</v>
      </c>
      <c r="J31" s="38">
        <v>191</v>
      </c>
      <c r="K31" s="8"/>
      <c r="L31" s="8"/>
      <c r="M31" s="8"/>
    </row>
    <row r="32" spans="1:13" s="6" customFormat="1" ht="10">
      <c r="A32" s="37" t="s">
        <v>104</v>
      </c>
      <c r="B32" s="221">
        <v>6</v>
      </c>
      <c r="C32" s="307">
        <f t="shared" si="4"/>
        <v>-0.75</v>
      </c>
      <c r="D32" s="221">
        <v>24</v>
      </c>
      <c r="E32" s="307">
        <f t="shared" si="5"/>
        <v>-0.47826086956521741</v>
      </c>
      <c r="F32" s="38">
        <v>46</v>
      </c>
      <c r="G32" s="307">
        <f t="shared" si="3"/>
        <v>-0.16363636363636369</v>
      </c>
      <c r="H32" s="221">
        <v>55</v>
      </c>
      <c r="I32" s="267">
        <f t="shared" si="6"/>
        <v>0.27906976744186052</v>
      </c>
      <c r="J32" s="38">
        <v>43</v>
      </c>
      <c r="K32" s="8"/>
      <c r="L32" s="8"/>
      <c r="M32" s="8"/>
    </row>
    <row r="33" spans="1:13" s="6" customFormat="1" ht="10">
      <c r="A33" s="37" t="s">
        <v>105</v>
      </c>
      <c r="B33" s="223">
        <v>9</v>
      </c>
      <c r="C33" s="307">
        <f t="shared" si="4"/>
        <v>-0.64</v>
      </c>
      <c r="D33" s="223">
        <v>25</v>
      </c>
      <c r="E33" s="307">
        <f t="shared" si="5"/>
        <v>-0.5901639344262295</v>
      </c>
      <c r="F33" s="42">
        <v>61</v>
      </c>
      <c r="G33" s="307">
        <f t="shared" si="3"/>
        <v>-0.12857142857142856</v>
      </c>
      <c r="H33" s="223">
        <v>70</v>
      </c>
      <c r="I33" s="267">
        <f t="shared" si="6"/>
        <v>1</v>
      </c>
      <c r="J33" s="42">
        <v>35</v>
      </c>
      <c r="K33" s="8"/>
      <c r="L33" s="8"/>
      <c r="M33" s="8"/>
    </row>
    <row r="34" spans="1:13" s="6" customFormat="1" ht="10">
      <c r="A34" s="37" t="s">
        <v>106</v>
      </c>
      <c r="B34" s="223">
        <v>0</v>
      </c>
      <c r="C34" s="307"/>
      <c r="D34" s="223">
        <v>0</v>
      </c>
      <c r="E34" s="307"/>
      <c r="F34" s="42">
        <v>0</v>
      </c>
      <c r="G34" s="307"/>
      <c r="H34" s="42">
        <v>0</v>
      </c>
      <c r="I34" s="267">
        <f t="shared" si="6"/>
        <v>-1</v>
      </c>
      <c r="J34" s="42">
        <v>1</v>
      </c>
      <c r="K34" s="8"/>
      <c r="L34" s="8"/>
      <c r="M34" s="8"/>
    </row>
    <row r="35" spans="1:13" s="6" customFormat="1" ht="10">
      <c r="A35" s="41" t="s">
        <v>86</v>
      </c>
      <c r="B35" s="175">
        <f>B13</f>
        <v>19078</v>
      </c>
      <c r="C35" s="307">
        <f t="shared" ref="C35:C40" si="7">IF((+B35/D35)&lt;0,"n.m.",IF(B35&lt;0,(+B35/D35-1)*-1,(+B35/D35-1)))</f>
        <v>4.3483017010337521E-2</v>
      </c>
      <c r="D35" s="175">
        <f>D13</f>
        <v>18283</v>
      </c>
      <c r="E35" s="307">
        <f t="shared" si="5"/>
        <v>3.1131915853589653E-2</v>
      </c>
      <c r="F35" s="43">
        <f>F13</f>
        <v>17731</v>
      </c>
      <c r="G35" s="307">
        <f t="shared" si="3"/>
        <v>6.3711080448737079E-2</v>
      </c>
      <c r="H35" s="175">
        <f>H13</f>
        <v>16669</v>
      </c>
      <c r="I35" s="267">
        <f t="shared" si="6"/>
        <v>6.6034337855680469E-4</v>
      </c>
      <c r="J35" s="43">
        <f>J13</f>
        <v>16658</v>
      </c>
      <c r="K35" s="8"/>
      <c r="L35" s="8"/>
      <c r="M35" s="8"/>
    </row>
    <row r="36" spans="1:13" s="6" customFormat="1" ht="10">
      <c r="A36" s="41" t="s">
        <v>87</v>
      </c>
      <c r="B36" s="175">
        <f>B14</f>
        <v>102</v>
      </c>
      <c r="C36" s="307">
        <f t="shared" si="7"/>
        <v>-1.9230769230769273E-2</v>
      </c>
      <c r="D36" s="175">
        <f>D14</f>
        <v>104</v>
      </c>
      <c r="E36" s="307">
        <f t="shared" si="5"/>
        <v>4.0000000000000036E-2</v>
      </c>
      <c r="F36" s="43">
        <f>F14</f>
        <v>100</v>
      </c>
      <c r="G36" s="307">
        <f t="shared" si="3"/>
        <v>-9.9009900990099098E-3</v>
      </c>
      <c r="H36" s="175">
        <f>H14</f>
        <v>101</v>
      </c>
      <c r="I36" s="267">
        <f t="shared" si="6"/>
        <v>-0.12931034482758619</v>
      </c>
      <c r="J36" s="43">
        <f>J14</f>
        <v>116</v>
      </c>
      <c r="K36" s="8"/>
      <c r="L36" s="8"/>
      <c r="M36" s="8"/>
    </row>
    <row r="37" spans="1:13" s="2" customFormat="1" ht="10.5">
      <c r="A37" s="41" t="s">
        <v>107</v>
      </c>
      <c r="B37" s="174">
        <f>B15+B16+B17+B18+B19+B20+B21+B22+B23+B24</f>
        <v>4810</v>
      </c>
      <c r="C37" s="307">
        <f t="shared" si="7"/>
        <v>0.12383177570093462</v>
      </c>
      <c r="D37" s="174">
        <f>D15+D16+D17+D18+D19+D20+D21+D22+D23+D24</f>
        <v>4280</v>
      </c>
      <c r="E37" s="307">
        <f t="shared" si="5"/>
        <v>0.12779973649538867</v>
      </c>
      <c r="F37" s="40">
        <f>F15+F16+F17+F18+F19+F20+F21+F22+F23+F24</f>
        <v>3795</v>
      </c>
      <c r="G37" s="307">
        <f t="shared" si="3"/>
        <v>3.5753275109170257E-2</v>
      </c>
      <c r="H37" s="174">
        <f>H15+H16+H17+H18+H19+H20+H21+H22+H23+H24</f>
        <v>3664</v>
      </c>
      <c r="I37" s="267">
        <f t="shared" si="6"/>
        <v>1.439645625692143E-2</v>
      </c>
      <c r="J37" s="40">
        <f>J15+J16+J17+J18+J19+J20+J21+J22+J23+J24</f>
        <v>3612</v>
      </c>
      <c r="K37" s="4"/>
      <c r="L37" s="4"/>
      <c r="M37" s="4"/>
    </row>
    <row r="38" spans="1:13" s="2" customFormat="1" ht="10.5">
      <c r="A38" s="41" t="s">
        <v>108</v>
      </c>
      <c r="B38" s="174">
        <f>B25+B26+B27+B28+B29+B30</f>
        <v>1369</v>
      </c>
      <c r="C38" s="307">
        <f t="shared" si="7"/>
        <v>-4.5993031358884995E-2</v>
      </c>
      <c r="D38" s="174">
        <f>D25+D26+D27+D28+D29+D30</f>
        <v>1435</v>
      </c>
      <c r="E38" s="307">
        <f t="shared" si="5"/>
        <v>-7.1798188874514834E-2</v>
      </c>
      <c r="F38" s="40">
        <f>F25+F26+F27+F28+F29+F30</f>
        <v>1546</v>
      </c>
      <c r="G38" s="307">
        <f t="shared" si="3"/>
        <v>-1.9035532994923887E-2</v>
      </c>
      <c r="H38" s="174">
        <f>H25+H26+H27+H28+H29+H30</f>
        <v>1576</v>
      </c>
      <c r="I38" s="267">
        <f t="shared" si="6"/>
        <v>-0.1070821529745043</v>
      </c>
      <c r="J38" s="40">
        <f>J25+J26+J27+J28+J29+J30</f>
        <v>1765</v>
      </c>
      <c r="K38" s="4"/>
      <c r="L38" s="4"/>
      <c r="M38" s="4"/>
    </row>
    <row r="39" spans="1:13" s="6" customFormat="1" ht="10">
      <c r="A39" s="41" t="s">
        <v>109</v>
      </c>
      <c r="B39" s="174">
        <f>B31+B32+B33+B34</f>
        <v>27</v>
      </c>
      <c r="C39" s="307">
        <f t="shared" si="7"/>
        <v>-0.77500000000000002</v>
      </c>
      <c r="D39" s="174">
        <f>D31+D32+D33+D34</f>
        <v>120</v>
      </c>
      <c r="E39" s="307">
        <f t="shared" si="5"/>
        <v>-0.38144329896907214</v>
      </c>
      <c r="F39" s="40">
        <f>F31+F32+F33+F34</f>
        <v>194</v>
      </c>
      <c r="G39" s="307">
        <f t="shared" si="3"/>
        <v>-0.1300448430493274</v>
      </c>
      <c r="H39" s="174">
        <f>H31+H32+H33+H34</f>
        <v>223</v>
      </c>
      <c r="I39" s="267">
        <f t="shared" si="6"/>
        <v>-0.17407407407407405</v>
      </c>
      <c r="J39" s="40">
        <f>J31+J32+J33+J34</f>
        <v>270</v>
      </c>
      <c r="K39" s="8"/>
      <c r="L39" s="8"/>
      <c r="M39" s="8"/>
    </row>
    <row r="40" spans="1:13" s="2" customFormat="1" ht="10.5">
      <c r="A40" s="35" t="s">
        <v>110</v>
      </c>
      <c r="B40" s="176">
        <f>SUM(B35:B39)</f>
        <v>25386</v>
      </c>
      <c r="C40" s="306">
        <f t="shared" si="7"/>
        <v>4.8055486747584863E-2</v>
      </c>
      <c r="D40" s="176">
        <f>SUM(D35:D39)</f>
        <v>24222</v>
      </c>
      <c r="E40" s="306">
        <f t="shared" si="5"/>
        <v>3.663442608918932E-2</v>
      </c>
      <c r="F40" s="44">
        <f>SUM(F35:F39)</f>
        <v>23366</v>
      </c>
      <c r="G40" s="306">
        <f t="shared" si="3"/>
        <v>5.0960284262132838E-2</v>
      </c>
      <c r="H40" s="176">
        <f>SUM(H35:H39)</f>
        <v>22233</v>
      </c>
      <c r="I40" s="278">
        <f t="shared" si="6"/>
        <v>-8.3849962089113106E-3</v>
      </c>
      <c r="J40" s="44">
        <f>SUM(J35:J39)</f>
        <v>22421</v>
      </c>
      <c r="K40" s="4"/>
      <c r="L40" s="4"/>
      <c r="M40" s="4"/>
    </row>
    <row r="41" spans="1:13" s="48" customFormat="1" ht="10">
      <c r="A41" s="45" t="s">
        <v>120</v>
      </c>
      <c r="B41" s="177">
        <f>B40/Group!B154</f>
        <v>0.33003549188106968</v>
      </c>
      <c r="C41" s="307"/>
      <c r="D41" s="177">
        <f>D40/Group!D154</f>
        <v>0.32099125364431486</v>
      </c>
      <c r="E41" s="307"/>
      <c r="F41" s="46">
        <f>F40/Group!F154</f>
        <v>0.3205036760671568</v>
      </c>
      <c r="G41" s="307"/>
      <c r="H41" s="177">
        <f>H40/Group!H154</f>
        <v>0.3094837066217514</v>
      </c>
      <c r="I41" s="177"/>
      <c r="J41" s="46">
        <f>J40/Group!J154</f>
        <v>0.30581736343176702</v>
      </c>
      <c r="K41" s="47"/>
      <c r="L41" s="47"/>
      <c r="M41" s="47"/>
    </row>
    <row r="42" spans="1:13" ht="12" customHeight="1">
      <c r="A42" s="31"/>
      <c r="B42" s="34"/>
      <c r="C42" s="307"/>
      <c r="D42" s="34"/>
      <c r="E42" s="307"/>
      <c r="F42" s="34"/>
      <c r="G42" s="307"/>
      <c r="H42" s="34"/>
      <c r="I42" s="34"/>
      <c r="J42" s="34"/>
    </row>
    <row r="43" spans="1:13" s="30" customFormat="1" ht="12" customHeight="1">
      <c r="A43" s="35" t="s">
        <v>1</v>
      </c>
      <c r="B43" s="36"/>
      <c r="C43" s="307"/>
      <c r="D43" s="36"/>
      <c r="E43" s="307"/>
      <c r="F43" s="36"/>
      <c r="G43" s="307"/>
      <c r="H43" s="36"/>
      <c r="I43" s="36"/>
      <c r="J43" s="36"/>
    </row>
    <row r="44" spans="1:13" s="2" customFormat="1" ht="10.5">
      <c r="A44" s="37" t="s">
        <v>86</v>
      </c>
      <c r="B44" s="228">
        <v>6401.95</v>
      </c>
      <c r="C44" s="307">
        <f t="shared" ref="C44:C62" si="8">IF((+B44/D44)&lt;0,"n.m.",IF(B44&lt;0,(+B44/D44-1)*-1,(+B44/D44-1)))</f>
        <v>2.9149827509155068E-2</v>
      </c>
      <c r="D44" s="228">
        <v>6220.62</v>
      </c>
      <c r="E44" s="307">
        <f t="shared" ref="E44:E101" si="9">IF((+D44/F44)&lt;0,"n.m.",IF(D44&lt;0,(+D44/F44-1)*-1,(+D44/F44-1)))</f>
        <v>0.17043570865452828</v>
      </c>
      <c r="F44" s="49">
        <v>5314.79</v>
      </c>
      <c r="G44" s="307">
        <f t="shared" si="3"/>
        <v>0.14193416698895622</v>
      </c>
      <c r="H44" s="224">
        <v>4654.2</v>
      </c>
      <c r="I44" s="267">
        <f t="shared" ref="I44:I70" si="10">IF((+H44/J44)&lt;0,"n.m.",IF(H44&lt;0,(+H44/J44-1)*-1,(+H44/J44-1)))</f>
        <v>-2.3685761749102641E-3</v>
      </c>
      <c r="J44" s="49">
        <v>4665.25</v>
      </c>
      <c r="K44" s="4"/>
      <c r="L44" s="4"/>
      <c r="M44" s="4"/>
    </row>
    <row r="45" spans="1:13" s="2" customFormat="1" ht="10.5">
      <c r="A45" s="37" t="s">
        <v>87</v>
      </c>
      <c r="B45" s="228">
        <v>28.03</v>
      </c>
      <c r="C45" s="307">
        <f t="shared" si="8"/>
        <v>0.13298302344381563</v>
      </c>
      <c r="D45" s="228">
        <v>24.740000000000002</v>
      </c>
      <c r="E45" s="307">
        <f t="shared" si="9"/>
        <v>0.24321608040201026</v>
      </c>
      <c r="F45" s="49">
        <v>19.899999999999999</v>
      </c>
      <c r="G45" s="307">
        <f t="shared" si="3"/>
        <v>-0.2710622710622711</v>
      </c>
      <c r="H45" s="224">
        <v>27.3</v>
      </c>
      <c r="I45" s="267">
        <f t="shared" si="10"/>
        <v>0.40432098765432101</v>
      </c>
      <c r="J45" s="49">
        <v>19.440000000000001</v>
      </c>
      <c r="K45" s="4"/>
      <c r="L45" s="4"/>
      <c r="M45" s="4"/>
    </row>
    <row r="46" spans="1:13" s="2" customFormat="1" ht="10.5">
      <c r="A46" s="37" t="s">
        <v>88</v>
      </c>
      <c r="B46" s="228">
        <v>999.03</v>
      </c>
      <c r="C46" s="307">
        <f t="shared" si="8"/>
        <v>0.11643422287783278</v>
      </c>
      <c r="D46" s="228">
        <v>894.84</v>
      </c>
      <c r="E46" s="307">
        <f t="shared" si="9"/>
        <v>0.13712782585490468</v>
      </c>
      <c r="F46" s="49">
        <v>786.93</v>
      </c>
      <c r="G46" s="307">
        <f t="shared" si="3"/>
        <v>0.10715139918679739</v>
      </c>
      <c r="H46" s="224">
        <v>710.77</v>
      </c>
      <c r="I46" s="267">
        <f t="shared" si="10"/>
        <v>-0.16585102512645378</v>
      </c>
      <c r="J46" s="49">
        <v>852.09</v>
      </c>
      <c r="K46" s="4"/>
      <c r="L46" s="4"/>
      <c r="M46" s="4"/>
    </row>
    <row r="47" spans="1:13" s="2" customFormat="1" ht="10.5">
      <c r="A47" s="37" t="s">
        <v>89</v>
      </c>
      <c r="B47" s="228">
        <v>0.57999999999999996</v>
      </c>
      <c r="C47" s="307">
        <f t="shared" si="8"/>
        <v>-7.9365079365079416E-2</v>
      </c>
      <c r="D47" s="228">
        <v>0.63</v>
      </c>
      <c r="E47" s="307">
        <f t="shared" si="9"/>
        <v>5.3</v>
      </c>
      <c r="F47" s="49">
        <v>0.1</v>
      </c>
      <c r="G47" s="307">
        <f t="shared" si="3"/>
        <v>-9.0909090909090828E-2</v>
      </c>
      <c r="H47" s="224">
        <v>0.11</v>
      </c>
      <c r="I47" s="267">
        <f t="shared" si="10"/>
        <v>-0.64516129032258063</v>
      </c>
      <c r="J47" s="49">
        <v>0.31</v>
      </c>
      <c r="K47" s="4"/>
      <c r="L47" s="4"/>
      <c r="M47" s="4"/>
    </row>
    <row r="48" spans="1:13" s="6" customFormat="1" ht="10">
      <c r="A48" s="37" t="s">
        <v>90</v>
      </c>
      <c r="B48" s="228">
        <v>0.11</v>
      </c>
      <c r="C48" s="307">
        <f t="shared" si="8"/>
        <v>-0.89423076923076927</v>
      </c>
      <c r="D48" s="228">
        <v>1.04</v>
      </c>
      <c r="E48" s="307">
        <f t="shared" si="9"/>
        <v>-0.8991270611057226</v>
      </c>
      <c r="F48" s="49">
        <v>10.31</v>
      </c>
      <c r="G48" s="307">
        <f t="shared" si="3"/>
        <v>-0.30525606469002686</v>
      </c>
      <c r="H48" s="224">
        <v>14.84</v>
      </c>
      <c r="I48" s="267">
        <f t="shared" si="10"/>
        <v>16.255813953488371</v>
      </c>
      <c r="J48" s="49">
        <v>0.86</v>
      </c>
      <c r="K48" s="8"/>
      <c r="L48" s="8"/>
      <c r="M48" s="8"/>
    </row>
    <row r="49" spans="1:13" s="6" customFormat="1" ht="10">
      <c r="A49" s="37" t="s">
        <v>132</v>
      </c>
      <c r="B49" s="228">
        <v>0</v>
      </c>
      <c r="C49" s="307">
        <f t="shared" si="8"/>
        <v>-1</v>
      </c>
      <c r="D49" s="228">
        <v>0.03</v>
      </c>
      <c r="E49" s="307"/>
      <c r="F49" s="49">
        <v>0</v>
      </c>
      <c r="G49" s="307">
        <f t="shared" si="3"/>
        <v>-1</v>
      </c>
      <c r="H49" s="224">
        <v>19.52</v>
      </c>
      <c r="I49" s="267">
        <f t="shared" si="10"/>
        <v>-0.49897330595482547</v>
      </c>
      <c r="J49" s="49">
        <v>38.96</v>
      </c>
      <c r="K49" s="8"/>
      <c r="L49" s="8"/>
      <c r="M49" s="8"/>
    </row>
    <row r="50" spans="1:13" s="6" customFormat="1" ht="10">
      <c r="A50" s="37" t="s">
        <v>91</v>
      </c>
      <c r="B50" s="228">
        <v>0</v>
      </c>
      <c r="C50" s="307"/>
      <c r="D50" s="228">
        <v>0</v>
      </c>
      <c r="E50" s="307"/>
      <c r="F50" s="49">
        <v>0</v>
      </c>
      <c r="G50" s="307"/>
      <c r="H50" s="224">
        <v>0</v>
      </c>
      <c r="I50" s="267">
        <f t="shared" si="10"/>
        <v>-1</v>
      </c>
      <c r="J50" s="49">
        <v>0.02</v>
      </c>
      <c r="K50" s="8"/>
      <c r="L50" s="8"/>
      <c r="M50" s="8"/>
    </row>
    <row r="51" spans="1:13" s="6" customFormat="1" ht="10">
      <c r="A51" s="37" t="s">
        <v>92</v>
      </c>
      <c r="B51" s="228">
        <v>16.21</v>
      </c>
      <c r="C51" s="307">
        <f t="shared" si="8"/>
        <v>0.21605401350337594</v>
      </c>
      <c r="D51" s="228">
        <v>13.33</v>
      </c>
      <c r="E51" s="307">
        <f t="shared" si="9"/>
        <v>0.47130242825607049</v>
      </c>
      <c r="F51" s="49">
        <v>9.06</v>
      </c>
      <c r="G51" s="307">
        <f t="shared" si="3"/>
        <v>0.59507042253521147</v>
      </c>
      <c r="H51" s="224">
        <v>5.68</v>
      </c>
      <c r="I51" s="267">
        <f t="shared" si="10"/>
        <v>-0.2855345911949686</v>
      </c>
      <c r="J51" s="49">
        <v>7.95</v>
      </c>
      <c r="K51" s="8"/>
      <c r="L51" s="8"/>
      <c r="M51" s="8"/>
    </row>
    <row r="52" spans="1:13" s="6" customFormat="1" ht="10">
      <c r="A52" s="37" t="s">
        <v>93</v>
      </c>
      <c r="B52" s="228">
        <v>0</v>
      </c>
      <c r="C52" s="307"/>
      <c r="D52" s="228">
        <v>0</v>
      </c>
      <c r="E52" s="307"/>
      <c r="F52" s="49">
        <v>0</v>
      </c>
      <c r="G52" s="307"/>
      <c r="H52" s="224">
        <v>0</v>
      </c>
      <c r="I52" s="267">
        <f t="shared" si="10"/>
        <v>-1</v>
      </c>
      <c r="J52" s="49">
        <v>0.19</v>
      </c>
      <c r="K52" s="8"/>
      <c r="L52" s="8"/>
      <c r="M52" s="8"/>
    </row>
    <row r="53" spans="1:13" s="6" customFormat="1" ht="10">
      <c r="A53" s="37" t="s">
        <v>94</v>
      </c>
      <c r="B53" s="228">
        <v>0</v>
      </c>
      <c r="C53" s="307"/>
      <c r="D53" s="228">
        <v>0</v>
      </c>
      <c r="E53" s="307"/>
      <c r="F53" s="49">
        <v>0</v>
      </c>
      <c r="G53" s="307"/>
      <c r="H53" s="224">
        <v>0</v>
      </c>
      <c r="I53" s="267"/>
      <c r="J53" s="49">
        <v>0</v>
      </c>
      <c r="K53" s="8"/>
      <c r="L53" s="8"/>
      <c r="M53" s="8"/>
    </row>
    <row r="54" spans="1:13" s="6" customFormat="1" ht="10">
      <c r="A54" s="37" t="s">
        <v>95</v>
      </c>
      <c r="B54" s="228">
        <v>0</v>
      </c>
      <c r="C54" s="307"/>
      <c r="D54" s="228">
        <v>0</v>
      </c>
      <c r="E54" s="307"/>
      <c r="F54" s="49">
        <v>0</v>
      </c>
      <c r="G54" s="307"/>
      <c r="H54" s="224">
        <v>0</v>
      </c>
      <c r="I54" s="267"/>
      <c r="J54" s="49">
        <v>0</v>
      </c>
      <c r="K54" s="8"/>
      <c r="L54" s="8"/>
      <c r="M54" s="8"/>
    </row>
    <row r="55" spans="1:13" s="6" customFormat="1" ht="10">
      <c r="A55" s="37" t="s">
        <v>96</v>
      </c>
      <c r="B55" s="228">
        <v>0</v>
      </c>
      <c r="C55" s="307">
        <f t="shared" si="8"/>
        <v>-1</v>
      </c>
      <c r="D55" s="228">
        <v>0.22</v>
      </c>
      <c r="E55" s="307"/>
      <c r="F55" s="49">
        <v>0</v>
      </c>
      <c r="G55" s="307"/>
      <c r="H55" s="224">
        <v>0</v>
      </c>
      <c r="I55" s="267"/>
      <c r="J55" s="49">
        <v>0</v>
      </c>
      <c r="K55" s="8"/>
      <c r="L55" s="8"/>
      <c r="M55" s="8"/>
    </row>
    <row r="56" spans="1:13" s="6" customFormat="1" ht="10">
      <c r="A56" s="37" t="s">
        <v>97</v>
      </c>
      <c r="B56" s="228">
        <v>22.26</v>
      </c>
      <c r="C56" s="307">
        <f t="shared" si="8"/>
        <v>-0.20071813285457807</v>
      </c>
      <c r="D56" s="228">
        <v>27.85</v>
      </c>
      <c r="E56" s="307">
        <f t="shared" si="9"/>
        <v>-0.12832550860719871</v>
      </c>
      <c r="F56" s="49">
        <v>31.95</v>
      </c>
      <c r="G56" s="307">
        <f t="shared" si="3"/>
        <v>-0.11299278178789574</v>
      </c>
      <c r="H56" s="224">
        <v>36.020000000000003</v>
      </c>
      <c r="I56" s="267">
        <f t="shared" si="10"/>
        <v>0.27234192864712137</v>
      </c>
      <c r="J56" s="49">
        <v>28.31</v>
      </c>
      <c r="K56" s="8"/>
      <c r="L56" s="8"/>
      <c r="M56" s="8"/>
    </row>
    <row r="57" spans="1:13" s="6" customFormat="1" ht="10">
      <c r="A57" s="37" t="s">
        <v>98</v>
      </c>
      <c r="B57" s="228">
        <v>285.26</v>
      </c>
      <c r="C57" s="307">
        <f t="shared" si="8"/>
        <v>-6.6099197904730733E-2</v>
      </c>
      <c r="D57" s="228">
        <v>305.45</v>
      </c>
      <c r="E57" s="307">
        <f t="shared" si="9"/>
        <v>0.11923344692389426</v>
      </c>
      <c r="F57" s="50">
        <v>272.91000000000003</v>
      </c>
      <c r="G57" s="307">
        <f t="shared" si="3"/>
        <v>0.13490248263816706</v>
      </c>
      <c r="H57" s="225">
        <v>240.47</v>
      </c>
      <c r="I57" s="267">
        <f t="shared" si="10"/>
        <v>5.9992947192100798E-2</v>
      </c>
      <c r="J57" s="50">
        <v>226.86</v>
      </c>
      <c r="K57" s="8"/>
      <c r="L57" s="8"/>
      <c r="M57" s="8"/>
    </row>
    <row r="58" spans="1:13" s="6" customFormat="1" ht="10">
      <c r="A58" s="37" t="s">
        <v>99</v>
      </c>
      <c r="B58" s="228">
        <v>180.27</v>
      </c>
      <c r="C58" s="307">
        <f t="shared" si="8"/>
        <v>6.7760469110939914E-2</v>
      </c>
      <c r="D58" s="228">
        <v>168.83</v>
      </c>
      <c r="E58" s="307">
        <f t="shared" si="9"/>
        <v>8.2451753542347905E-2</v>
      </c>
      <c r="F58" s="49">
        <v>155.97</v>
      </c>
      <c r="G58" s="307">
        <f t="shared" si="3"/>
        <v>-2.1947701762086935E-2</v>
      </c>
      <c r="H58" s="224">
        <v>159.47</v>
      </c>
      <c r="I58" s="267">
        <f t="shared" si="10"/>
        <v>-0.23927872918952442</v>
      </c>
      <c r="J58" s="49">
        <v>209.63</v>
      </c>
      <c r="K58" s="8"/>
      <c r="L58" s="8"/>
      <c r="M58" s="8"/>
    </row>
    <row r="59" spans="1:13" s="2" customFormat="1" ht="10.5">
      <c r="A59" s="37" t="s">
        <v>100</v>
      </c>
      <c r="B59" s="228">
        <v>0.21000000000000002</v>
      </c>
      <c r="C59" s="307"/>
      <c r="D59" s="228">
        <v>0</v>
      </c>
      <c r="E59" s="307"/>
      <c r="F59" s="49">
        <v>0</v>
      </c>
      <c r="G59" s="307">
        <f t="shared" si="3"/>
        <v>-1</v>
      </c>
      <c r="H59" s="224">
        <v>0.73</v>
      </c>
      <c r="I59" s="267">
        <f t="shared" si="10"/>
        <v>0.97297297297297303</v>
      </c>
      <c r="J59" s="49">
        <v>0.37</v>
      </c>
      <c r="K59" s="4"/>
      <c r="L59" s="4"/>
      <c r="M59" s="4"/>
    </row>
    <row r="60" spans="1:13" s="6" customFormat="1" ht="10">
      <c r="A60" s="37" t="s">
        <v>101</v>
      </c>
      <c r="B60" s="228">
        <v>96.31</v>
      </c>
      <c r="C60" s="307">
        <f t="shared" si="8"/>
        <v>0.10535980718466664</v>
      </c>
      <c r="D60" s="228">
        <v>87.13</v>
      </c>
      <c r="E60" s="307">
        <f t="shared" si="9"/>
        <v>-0.4262856390333839</v>
      </c>
      <c r="F60" s="49">
        <v>151.87</v>
      </c>
      <c r="G60" s="307">
        <f t="shared" si="3"/>
        <v>-0.32330793565922555</v>
      </c>
      <c r="H60" s="224">
        <v>224.43</v>
      </c>
      <c r="I60" s="267">
        <f t="shared" si="10"/>
        <v>5.2624173350218184E-2</v>
      </c>
      <c r="J60" s="49">
        <v>213.21</v>
      </c>
      <c r="K60" s="8"/>
      <c r="L60" s="8"/>
      <c r="M60" s="8"/>
    </row>
    <row r="61" spans="1:13" s="6" customFormat="1" ht="10">
      <c r="A61" s="37" t="s">
        <v>102</v>
      </c>
      <c r="B61" s="228">
        <v>48.16</v>
      </c>
      <c r="C61" s="307">
        <f t="shared" si="8"/>
        <v>-0.18011576438542731</v>
      </c>
      <c r="D61" s="228">
        <v>58.739999999999995</v>
      </c>
      <c r="E61" s="307">
        <f t="shared" si="9"/>
        <v>-0.12184182986993575</v>
      </c>
      <c r="F61" s="49">
        <v>66.89</v>
      </c>
      <c r="G61" s="307">
        <f t="shared" si="3"/>
        <v>1.3429071803852888</v>
      </c>
      <c r="H61" s="224">
        <v>28.55</v>
      </c>
      <c r="I61" s="267">
        <f t="shared" si="10"/>
        <v>-0.41495901639344257</v>
      </c>
      <c r="J61" s="49">
        <v>48.8</v>
      </c>
      <c r="K61" s="8"/>
      <c r="L61" s="8"/>
      <c r="M61" s="8"/>
    </row>
    <row r="62" spans="1:13" s="6" customFormat="1" ht="10">
      <c r="A62" s="37" t="s">
        <v>103</v>
      </c>
      <c r="B62" s="228">
        <v>4.58</v>
      </c>
      <c r="C62" s="307">
        <f t="shared" si="8"/>
        <v>-0.38688085676037476</v>
      </c>
      <c r="D62" s="228">
        <v>7.47</v>
      </c>
      <c r="E62" s="307">
        <f t="shared" si="9"/>
        <v>-0.27686350435624396</v>
      </c>
      <c r="F62" s="49">
        <v>10.33</v>
      </c>
      <c r="G62" s="307">
        <f t="shared" si="3"/>
        <v>-0.42387060791968767</v>
      </c>
      <c r="H62" s="224">
        <v>17.93</v>
      </c>
      <c r="I62" s="267">
        <f t="shared" si="10"/>
        <v>3.5817446562680599E-2</v>
      </c>
      <c r="J62" s="49">
        <v>17.309999999999999</v>
      </c>
      <c r="K62" s="8"/>
      <c r="L62" s="8"/>
      <c r="M62" s="8"/>
    </row>
    <row r="63" spans="1:13" s="6" customFormat="1" ht="10">
      <c r="A63" s="37" t="s">
        <v>104</v>
      </c>
      <c r="B63" s="228">
        <v>20.29</v>
      </c>
      <c r="C63" s="307">
        <f t="shared" ref="C63:C71" si="11">IF((+B63/D63)&lt;0,"n.m.",IF(B63&lt;0,(+B63/D63-1)*-1,(+B63/D63-1)))</f>
        <v>1.2772166105499436</v>
      </c>
      <c r="D63" s="228">
        <v>8.91</v>
      </c>
      <c r="E63" s="307">
        <f t="shared" si="9"/>
        <v>2.0618556701030855E-2</v>
      </c>
      <c r="F63" s="49">
        <v>8.73</v>
      </c>
      <c r="G63" s="307">
        <f t="shared" si="3"/>
        <v>0.12645161290322582</v>
      </c>
      <c r="H63" s="224">
        <v>7.75</v>
      </c>
      <c r="I63" s="267">
        <f t="shared" si="10"/>
        <v>-0.72478693181818188</v>
      </c>
      <c r="J63" s="49">
        <v>28.16</v>
      </c>
      <c r="K63" s="8"/>
      <c r="L63" s="8"/>
      <c r="M63" s="8"/>
    </row>
    <row r="64" spans="1:13" s="6" customFormat="1" ht="10">
      <c r="A64" s="37" t="s">
        <v>105</v>
      </c>
      <c r="B64" s="228">
        <v>3.49</v>
      </c>
      <c r="C64" s="307">
        <f t="shared" si="11"/>
        <v>-0.53342245989304815</v>
      </c>
      <c r="D64" s="228">
        <v>7.48</v>
      </c>
      <c r="E64" s="307">
        <f t="shared" si="9"/>
        <v>1.1432664756446993</v>
      </c>
      <c r="F64" s="51">
        <v>3.49</v>
      </c>
      <c r="G64" s="307">
        <f t="shared" si="3"/>
        <v>-0.86372510737992969</v>
      </c>
      <c r="H64" s="226">
        <v>25.61</v>
      </c>
      <c r="I64" s="267">
        <f t="shared" si="10"/>
        <v>1.4297912713472489</v>
      </c>
      <c r="J64" s="51">
        <v>10.54</v>
      </c>
      <c r="K64" s="8"/>
      <c r="L64" s="8"/>
      <c r="M64" s="8"/>
    </row>
    <row r="65" spans="1:13" s="6" customFormat="1" ht="10">
      <c r="A65" s="37" t="s">
        <v>106</v>
      </c>
      <c r="B65" s="228">
        <v>0.19</v>
      </c>
      <c r="C65" s="307">
        <f t="shared" si="11"/>
        <v>0.11764705882352944</v>
      </c>
      <c r="D65" s="228">
        <v>0.16999999999999998</v>
      </c>
      <c r="E65" s="307">
        <f t="shared" si="9"/>
        <v>0.30769230769230749</v>
      </c>
      <c r="F65" s="51">
        <v>0.13</v>
      </c>
      <c r="G65" s="307">
        <f t="shared" si="3"/>
        <v>-0.91503267973856206</v>
      </c>
      <c r="H65" s="226">
        <v>1.53</v>
      </c>
      <c r="I65" s="267">
        <f t="shared" si="10"/>
        <v>9.928571428571427</v>
      </c>
      <c r="J65" s="51">
        <v>0.14000000000000001</v>
      </c>
      <c r="K65" s="8"/>
      <c r="L65" s="8"/>
      <c r="M65" s="8"/>
    </row>
    <row r="66" spans="1:13" s="6" customFormat="1" ht="10">
      <c r="A66" s="41" t="s">
        <v>86</v>
      </c>
      <c r="B66" s="179">
        <f>B44</f>
        <v>6401.95</v>
      </c>
      <c r="C66" s="307">
        <f t="shared" si="11"/>
        <v>2.9149827509155068E-2</v>
      </c>
      <c r="D66" s="179">
        <f>D44</f>
        <v>6220.62</v>
      </c>
      <c r="E66" s="307">
        <f t="shared" si="9"/>
        <v>0.17043570865452828</v>
      </c>
      <c r="F66" s="52">
        <f>F44</f>
        <v>5314.79</v>
      </c>
      <c r="G66" s="307">
        <f t="shared" si="3"/>
        <v>0.14193416698895622</v>
      </c>
      <c r="H66" s="179">
        <f>H44</f>
        <v>4654.2</v>
      </c>
      <c r="I66" s="267">
        <f t="shared" si="10"/>
        <v>-2.3685761749102641E-3</v>
      </c>
      <c r="J66" s="52">
        <f>J44</f>
        <v>4665.25</v>
      </c>
      <c r="K66" s="8"/>
      <c r="L66" s="8"/>
      <c r="M66" s="8"/>
    </row>
    <row r="67" spans="1:13" s="6" customFormat="1" ht="10">
      <c r="A67" s="41" t="s">
        <v>87</v>
      </c>
      <c r="B67" s="179">
        <f>B45</f>
        <v>28.03</v>
      </c>
      <c r="C67" s="307">
        <f t="shared" si="11"/>
        <v>0.13298302344381563</v>
      </c>
      <c r="D67" s="179">
        <f>D45</f>
        <v>24.740000000000002</v>
      </c>
      <c r="E67" s="307">
        <f t="shared" si="9"/>
        <v>0.24321608040201026</v>
      </c>
      <c r="F67" s="52">
        <f>F45</f>
        <v>19.899999999999999</v>
      </c>
      <c r="G67" s="307">
        <f t="shared" si="3"/>
        <v>-0.2710622710622711</v>
      </c>
      <c r="H67" s="179">
        <f>H45</f>
        <v>27.3</v>
      </c>
      <c r="I67" s="267">
        <f t="shared" si="10"/>
        <v>0.40432098765432101</v>
      </c>
      <c r="J67" s="52">
        <f>J45</f>
        <v>19.440000000000001</v>
      </c>
      <c r="K67" s="8"/>
      <c r="L67" s="8"/>
      <c r="M67" s="8"/>
    </row>
    <row r="68" spans="1:13" s="2" customFormat="1" ht="10.5">
      <c r="A68" s="41" t="s">
        <v>107</v>
      </c>
      <c r="B68" s="178">
        <f>B46+B47+B48+B49+B50+B51+B52+B53+B54+B55</f>
        <v>1015.9300000000001</v>
      </c>
      <c r="C68" s="307">
        <f t="shared" si="11"/>
        <v>0.11629619048665529</v>
      </c>
      <c r="D68" s="178">
        <f>D46+D47+D48+D49+D50+D51+D52+D53+D54+D55</f>
        <v>910.09</v>
      </c>
      <c r="E68" s="307">
        <f t="shared" si="9"/>
        <v>0.12858382936507962</v>
      </c>
      <c r="F68" s="50">
        <f>F46+F47+F48+F49+F50+F51+F52+F53+F54+F55</f>
        <v>806.39999999999986</v>
      </c>
      <c r="G68" s="307">
        <f t="shared" ref="G68:G101" si="12">IF((+F68/H68)&lt;0,"n.m.",IF(F68&lt;0,(+F68/H68-1)*-1,(+F68/H68-1)))</f>
        <v>7.3882703883236367E-2</v>
      </c>
      <c r="H68" s="178">
        <f>H46+H47+H48+H49+H50+H51+H52+H53+H54+H55</f>
        <v>750.92</v>
      </c>
      <c r="I68" s="267">
        <f t="shared" si="10"/>
        <v>-0.16599657922210642</v>
      </c>
      <c r="J68" s="50">
        <f>J46+J47+J48+J49+J50+J51+J52+J53+J54+J55</f>
        <v>900.38000000000011</v>
      </c>
      <c r="K68" s="4"/>
      <c r="L68" s="4"/>
      <c r="M68" s="4"/>
    </row>
    <row r="69" spans="1:13" s="2" customFormat="1" ht="10.5">
      <c r="A69" s="41" t="s">
        <v>108</v>
      </c>
      <c r="B69" s="178">
        <f>B56+B57+B58+B59+B60+B61</f>
        <v>632.46999999999991</v>
      </c>
      <c r="C69" s="307">
        <f t="shared" si="11"/>
        <v>-2.3966049382716181E-2</v>
      </c>
      <c r="D69" s="178">
        <f>D56+D57+D58+D59+D60+D61</f>
        <v>648</v>
      </c>
      <c r="E69" s="307">
        <f t="shared" si="9"/>
        <v>-4.6483909415971469E-2</v>
      </c>
      <c r="F69" s="50">
        <f>F56+F57+F58+F59+F60+F61</f>
        <v>679.59</v>
      </c>
      <c r="G69" s="307">
        <f t="shared" si="12"/>
        <v>-1.4615685762756181E-2</v>
      </c>
      <c r="H69" s="178">
        <f>H56+H57+H58+H59+H60+H61</f>
        <v>689.67000000000007</v>
      </c>
      <c r="I69" s="267">
        <f t="shared" si="10"/>
        <v>-5.1582826810418148E-2</v>
      </c>
      <c r="J69" s="50">
        <f>J56+J57+J58+J59+J60+J61</f>
        <v>727.18</v>
      </c>
      <c r="K69" s="4"/>
      <c r="L69" s="4"/>
      <c r="M69" s="4"/>
    </row>
    <row r="70" spans="1:13" s="6" customFormat="1" ht="10">
      <c r="A70" s="41" t="s">
        <v>109</v>
      </c>
      <c r="B70" s="178">
        <f>B62+B63+B64+B65</f>
        <v>28.55</v>
      </c>
      <c r="C70" s="307">
        <f t="shared" si="11"/>
        <v>0.18809821057012055</v>
      </c>
      <c r="D70" s="178">
        <f>D62+D63+D64+D65</f>
        <v>24.03</v>
      </c>
      <c r="E70" s="307">
        <f t="shared" si="9"/>
        <v>5.9523809523809312E-2</v>
      </c>
      <c r="F70" s="50">
        <f>F62+F63+F64+F65</f>
        <v>22.680000000000003</v>
      </c>
      <c r="G70" s="307">
        <f t="shared" si="12"/>
        <v>-0.57061719045815973</v>
      </c>
      <c r="H70" s="178">
        <f>H62+H63+H64+H65</f>
        <v>52.82</v>
      </c>
      <c r="I70" s="267">
        <f t="shared" si="10"/>
        <v>-5.9305431878895809E-2</v>
      </c>
      <c r="J70" s="50">
        <f>J62+J63+J64+J65</f>
        <v>56.15</v>
      </c>
      <c r="K70" s="8"/>
      <c r="L70" s="8"/>
      <c r="M70" s="8"/>
    </row>
    <row r="71" spans="1:13" s="30" customFormat="1" ht="10.4" customHeight="1">
      <c r="A71" s="35" t="s">
        <v>113</v>
      </c>
      <c r="B71" s="227">
        <f>SUM(B66:B70)</f>
        <v>8106.93</v>
      </c>
      <c r="C71" s="306">
        <f t="shared" si="11"/>
        <v>3.5701145196155082E-2</v>
      </c>
      <c r="D71" s="227">
        <f>SUM(D66:D70)</f>
        <v>7827.48</v>
      </c>
      <c r="E71" s="306">
        <f t="shared" si="9"/>
        <v>0.14380655116784746</v>
      </c>
      <c r="F71" s="53">
        <f>SUM(F66:F70)</f>
        <v>6843.36</v>
      </c>
      <c r="G71" s="306">
        <f t="shared" si="12"/>
        <v>0.10825258991629028</v>
      </c>
      <c r="H71" s="227">
        <f>SUM(H66:H70)</f>
        <v>6174.91</v>
      </c>
      <c r="I71" s="278">
        <f t="shared" ref="I71" si="13">IF((+H71/J71)&lt;0,"n.m.",IF(H71&lt;0,(+H71/J71-1)*-1,(+H71/J71-1)))</f>
        <v>-3.0382827711827098E-2</v>
      </c>
      <c r="J71" s="53">
        <f>SUM(J66:J70)</f>
        <v>6368.4</v>
      </c>
    </row>
    <row r="72" spans="1:13" ht="10.4" customHeight="1">
      <c r="A72" s="37"/>
      <c r="B72" s="41"/>
      <c r="C72" s="307"/>
      <c r="D72" s="41"/>
      <c r="E72" s="307"/>
      <c r="F72" s="41"/>
      <c r="G72" s="307"/>
      <c r="H72" s="41"/>
      <c r="I72" s="41"/>
      <c r="J72" s="41"/>
    </row>
    <row r="73" spans="1:13" ht="10.4" customHeight="1">
      <c r="A73" s="54" t="s">
        <v>2</v>
      </c>
      <c r="B73" s="55"/>
      <c r="C73" s="307"/>
      <c r="D73" s="55"/>
      <c r="E73" s="307"/>
      <c r="F73" s="55"/>
      <c r="G73" s="307"/>
      <c r="H73" s="55"/>
      <c r="I73" s="55"/>
      <c r="J73" s="55"/>
    </row>
    <row r="74" spans="1:13" s="2" customFormat="1" ht="10.5">
      <c r="A74" s="37" t="s">
        <v>86</v>
      </c>
      <c r="B74" s="228">
        <v>6603.7</v>
      </c>
      <c r="C74" s="307">
        <f t="shared" ref="C74:C94" si="14">IF((+B74/D74)&lt;0,"n.m.",IF(B74&lt;0,(+B74/D74-1)*-1,(+B74/D74-1)))</f>
        <v>9.8752450009816695E-2</v>
      </c>
      <c r="D74" s="228">
        <v>6010.18</v>
      </c>
      <c r="E74" s="307">
        <f t="shared" si="9"/>
        <v>4.7135360405879068E-2</v>
      </c>
      <c r="F74" s="49">
        <v>5739.64</v>
      </c>
      <c r="G74" s="307">
        <f t="shared" si="12"/>
        <v>0.10907917466967088</v>
      </c>
      <c r="H74" s="228">
        <v>5175.1400000000003</v>
      </c>
      <c r="I74" s="267">
        <f>IF((+H74/J74)&lt;0,"n.m.",IF(H74&lt;0,(+H74/J74-1)*-1,(+H74/J74-1)))</f>
        <v>0.42683367291515606</v>
      </c>
      <c r="J74" s="49">
        <v>3627.01</v>
      </c>
      <c r="K74" s="4"/>
      <c r="L74" s="4"/>
      <c r="M74" s="4"/>
    </row>
    <row r="75" spans="1:13" s="2" customFormat="1" ht="10.5">
      <c r="A75" s="37" t="s">
        <v>87</v>
      </c>
      <c r="B75" s="228">
        <v>5.46</v>
      </c>
      <c r="C75" s="307">
        <f t="shared" si="14"/>
        <v>-0.72479838709677424</v>
      </c>
      <c r="D75" s="228">
        <v>19.84</v>
      </c>
      <c r="E75" s="307">
        <f t="shared" si="9"/>
        <v>0.29082628497072216</v>
      </c>
      <c r="F75" s="49">
        <v>15.37</v>
      </c>
      <c r="G75" s="307">
        <f t="shared" si="12"/>
        <v>-0.49240422721268173</v>
      </c>
      <c r="H75" s="228">
        <v>30.28</v>
      </c>
      <c r="I75" s="267">
        <f t="shared" ref="I75:I101" si="15">IF((+H75/J75)&lt;0,"n.m.",IF(H75&lt;0,(+H75/J75-1)*-1,(+H75/J75-1)))</f>
        <v>0.42628356099858689</v>
      </c>
      <c r="J75" s="49">
        <v>21.23</v>
      </c>
      <c r="K75" s="4"/>
      <c r="L75" s="4"/>
      <c r="M75" s="4"/>
    </row>
    <row r="76" spans="1:13" s="2" customFormat="1" ht="10.5">
      <c r="A76" s="37" t="s">
        <v>88</v>
      </c>
      <c r="B76" s="228">
        <v>1455.15</v>
      </c>
      <c r="C76" s="307">
        <f t="shared" si="14"/>
        <v>-9.8704870208298434E-2</v>
      </c>
      <c r="D76" s="228">
        <v>1614.51</v>
      </c>
      <c r="E76" s="307">
        <f t="shared" si="9"/>
        <v>0.1589249951547258</v>
      </c>
      <c r="F76" s="49">
        <v>1393.11</v>
      </c>
      <c r="G76" s="307">
        <f t="shared" si="12"/>
        <v>0.63280590717299567</v>
      </c>
      <c r="H76" s="228">
        <v>853.2</v>
      </c>
      <c r="I76" s="267">
        <f t="shared" si="15"/>
        <v>6.4929229386654796E-2</v>
      </c>
      <c r="J76" s="49">
        <v>801.18</v>
      </c>
      <c r="K76" s="4"/>
      <c r="L76" s="4"/>
      <c r="M76" s="4"/>
    </row>
    <row r="77" spans="1:13" s="2" customFormat="1" ht="10.5">
      <c r="A77" s="37" t="s">
        <v>89</v>
      </c>
      <c r="B77" s="228">
        <v>0</v>
      </c>
      <c r="C77" s="307"/>
      <c r="D77" s="228">
        <v>0</v>
      </c>
      <c r="E77" s="307"/>
      <c r="F77" s="49">
        <v>0</v>
      </c>
      <c r="G77" s="307"/>
      <c r="H77" s="228">
        <v>0</v>
      </c>
      <c r="I77" s="267">
        <f t="shared" si="15"/>
        <v>-1</v>
      </c>
      <c r="J77" s="49">
        <v>0.1</v>
      </c>
      <c r="K77" s="4"/>
      <c r="L77" s="4"/>
      <c r="M77" s="4"/>
    </row>
    <row r="78" spans="1:13" s="6" customFormat="1" ht="10">
      <c r="A78" s="37" t="s">
        <v>90</v>
      </c>
      <c r="B78" s="228">
        <v>0</v>
      </c>
      <c r="C78" s="307">
        <f t="shared" si="14"/>
        <v>-1</v>
      </c>
      <c r="D78" s="228">
        <v>0.03</v>
      </c>
      <c r="E78" s="307">
        <f t="shared" si="9"/>
        <v>0</v>
      </c>
      <c r="F78" s="49">
        <v>0.03</v>
      </c>
      <c r="G78" s="307">
        <f t="shared" si="12"/>
        <v>-0.99691991786447642</v>
      </c>
      <c r="H78" s="228">
        <v>9.74</v>
      </c>
      <c r="I78" s="267"/>
      <c r="J78" s="49">
        <v>0</v>
      </c>
      <c r="K78" s="8"/>
      <c r="L78" s="8"/>
      <c r="M78" s="8"/>
    </row>
    <row r="79" spans="1:13" s="6" customFormat="1" ht="10">
      <c r="A79" s="37" t="s">
        <v>132</v>
      </c>
      <c r="B79" s="228">
        <v>0</v>
      </c>
      <c r="C79" s="307"/>
      <c r="D79" s="228">
        <v>0</v>
      </c>
      <c r="E79" s="307">
        <f t="shared" si="9"/>
        <v>-1</v>
      </c>
      <c r="F79" s="49">
        <v>0.03</v>
      </c>
      <c r="G79" s="307">
        <f t="shared" si="12"/>
        <v>-0.99829642248722317</v>
      </c>
      <c r="H79" s="228">
        <v>17.61</v>
      </c>
      <c r="I79" s="267">
        <f t="shared" si="15"/>
        <v>1.5821114369501466</v>
      </c>
      <c r="J79" s="49">
        <v>6.82</v>
      </c>
      <c r="K79" s="8"/>
      <c r="L79" s="8"/>
      <c r="M79" s="8"/>
    </row>
    <row r="80" spans="1:13" s="6" customFormat="1" ht="10">
      <c r="A80" s="37" t="s">
        <v>91</v>
      </c>
      <c r="B80" s="228">
        <v>0</v>
      </c>
      <c r="C80" s="307"/>
      <c r="D80" s="228">
        <v>0</v>
      </c>
      <c r="E80" s="307"/>
      <c r="F80" s="49">
        <v>0</v>
      </c>
      <c r="G80" s="307"/>
      <c r="H80" s="228">
        <v>0</v>
      </c>
      <c r="I80" s="267"/>
      <c r="J80" s="49">
        <v>0</v>
      </c>
      <c r="K80" s="8"/>
      <c r="L80" s="8"/>
      <c r="M80" s="8"/>
    </row>
    <row r="81" spans="1:13" s="6" customFormat="1" ht="10">
      <c r="A81" s="37" t="s">
        <v>92</v>
      </c>
      <c r="B81" s="228">
        <v>13.62</v>
      </c>
      <c r="C81" s="307">
        <f t="shared" si="14"/>
        <v>2.7520661157024793</v>
      </c>
      <c r="D81" s="228">
        <v>3.63</v>
      </c>
      <c r="E81" s="307">
        <f t="shared" si="9"/>
        <v>0.39080459770114939</v>
      </c>
      <c r="F81" s="49">
        <v>2.61</v>
      </c>
      <c r="G81" s="307">
        <f t="shared" si="12"/>
        <v>-0.50095602294455066</v>
      </c>
      <c r="H81" s="228">
        <v>5.23</v>
      </c>
      <c r="I81" s="267">
        <f t="shared" si="15"/>
        <v>0.70358306188925113</v>
      </c>
      <c r="J81" s="49">
        <v>3.07</v>
      </c>
      <c r="K81" s="8"/>
      <c r="L81" s="8"/>
      <c r="M81" s="8"/>
    </row>
    <row r="82" spans="1:13" s="6" customFormat="1" ht="10">
      <c r="A82" s="37" t="s">
        <v>93</v>
      </c>
      <c r="B82" s="228">
        <v>0</v>
      </c>
      <c r="C82" s="307"/>
      <c r="D82" s="228">
        <v>0</v>
      </c>
      <c r="E82" s="307"/>
      <c r="F82" s="49">
        <v>0</v>
      </c>
      <c r="G82" s="307"/>
      <c r="H82" s="228">
        <v>0</v>
      </c>
      <c r="I82" s="267"/>
      <c r="J82" s="49">
        <v>0</v>
      </c>
      <c r="K82" s="8"/>
      <c r="L82" s="8"/>
      <c r="M82" s="8"/>
    </row>
    <row r="83" spans="1:13" s="6" customFormat="1" ht="10">
      <c r="A83" s="37" t="s">
        <v>94</v>
      </c>
      <c r="B83" s="228">
        <v>0</v>
      </c>
      <c r="C83" s="307"/>
      <c r="D83" s="228">
        <v>0</v>
      </c>
      <c r="E83" s="307"/>
      <c r="F83" s="49">
        <v>0</v>
      </c>
      <c r="G83" s="307"/>
      <c r="H83" s="228">
        <v>0</v>
      </c>
      <c r="I83" s="267"/>
      <c r="J83" s="49">
        <v>0</v>
      </c>
      <c r="K83" s="8"/>
      <c r="L83" s="8"/>
      <c r="M83" s="8"/>
    </row>
    <row r="84" spans="1:13" s="6" customFormat="1" ht="10">
      <c r="A84" s="37" t="s">
        <v>95</v>
      </c>
      <c r="B84" s="228">
        <v>0</v>
      </c>
      <c r="C84" s="307"/>
      <c r="D84" s="228">
        <v>0</v>
      </c>
      <c r="E84" s="307"/>
      <c r="F84" s="49">
        <v>0</v>
      </c>
      <c r="G84" s="307"/>
      <c r="H84" s="228">
        <v>0</v>
      </c>
      <c r="I84" s="267"/>
      <c r="J84" s="49">
        <v>0</v>
      </c>
      <c r="K84" s="8"/>
      <c r="L84" s="8"/>
      <c r="M84" s="8"/>
    </row>
    <row r="85" spans="1:13" s="6" customFormat="1" ht="10">
      <c r="A85" s="37" t="s">
        <v>96</v>
      </c>
      <c r="B85" s="228">
        <v>0</v>
      </c>
      <c r="C85" s="307"/>
      <c r="D85" s="228">
        <v>0</v>
      </c>
      <c r="E85" s="307"/>
      <c r="F85" s="49">
        <v>0</v>
      </c>
      <c r="G85" s="307"/>
      <c r="H85" s="228">
        <v>0</v>
      </c>
      <c r="I85" s="267"/>
      <c r="J85" s="49">
        <v>0</v>
      </c>
      <c r="K85" s="8"/>
      <c r="L85" s="8"/>
      <c r="M85" s="8"/>
    </row>
    <row r="86" spans="1:13" s="6" customFormat="1" ht="10">
      <c r="A86" s="37" t="s">
        <v>97</v>
      </c>
      <c r="B86" s="228">
        <v>7.97</v>
      </c>
      <c r="C86" s="307">
        <f t="shared" si="14"/>
        <v>-4.3217286914765896E-2</v>
      </c>
      <c r="D86" s="228">
        <v>8.33</v>
      </c>
      <c r="E86" s="307">
        <f t="shared" si="9"/>
        <v>0.10771276595744683</v>
      </c>
      <c r="F86" s="49">
        <v>7.52</v>
      </c>
      <c r="G86" s="307">
        <f t="shared" si="12"/>
        <v>-0.45625451916124371</v>
      </c>
      <c r="H86" s="228">
        <v>13.83</v>
      </c>
      <c r="I86" s="267">
        <f t="shared" si="15"/>
        <v>-6.4276048714479006E-2</v>
      </c>
      <c r="J86" s="49">
        <v>14.78</v>
      </c>
      <c r="K86" s="8"/>
      <c r="L86" s="8"/>
      <c r="M86" s="8"/>
    </row>
    <row r="87" spans="1:13" s="6" customFormat="1" ht="10">
      <c r="A87" s="37" t="s">
        <v>98</v>
      </c>
      <c r="B87" s="178">
        <v>422.26</v>
      </c>
      <c r="C87" s="307">
        <f t="shared" si="14"/>
        <v>-0.24236552194351746</v>
      </c>
      <c r="D87" s="178">
        <v>557.34</v>
      </c>
      <c r="E87" s="307">
        <f t="shared" si="9"/>
        <v>7.5383697597484201E-3</v>
      </c>
      <c r="F87" s="50">
        <v>553.16999999999996</v>
      </c>
      <c r="G87" s="307">
        <f t="shared" si="12"/>
        <v>0.42367777634796022</v>
      </c>
      <c r="H87" s="229">
        <v>388.55</v>
      </c>
      <c r="I87" s="267">
        <f t="shared" si="15"/>
        <v>0.230328361989804</v>
      </c>
      <c r="J87" s="50">
        <v>315.81</v>
      </c>
      <c r="K87" s="8"/>
      <c r="L87" s="8"/>
      <c r="M87" s="8"/>
    </row>
    <row r="88" spans="1:13" s="6" customFormat="1" ht="10">
      <c r="A88" s="37" t="s">
        <v>99</v>
      </c>
      <c r="B88" s="228">
        <v>135.19999999999999</v>
      </c>
      <c r="C88" s="307">
        <f t="shared" si="14"/>
        <v>-0.59679102919686267</v>
      </c>
      <c r="D88" s="228">
        <v>335.31</v>
      </c>
      <c r="E88" s="307">
        <f t="shared" si="9"/>
        <v>3.258091337418767E-2</v>
      </c>
      <c r="F88" s="49">
        <v>324.73</v>
      </c>
      <c r="G88" s="307">
        <f t="shared" si="12"/>
        <v>-9.5560383244206792E-2</v>
      </c>
      <c r="H88" s="228">
        <v>359.04</v>
      </c>
      <c r="I88" s="267">
        <f t="shared" si="15"/>
        <v>0.4042553191489362</v>
      </c>
      <c r="J88" s="49">
        <v>255.68</v>
      </c>
      <c r="K88" s="8"/>
      <c r="L88" s="8"/>
      <c r="M88" s="8"/>
    </row>
    <row r="89" spans="1:13" s="2" customFormat="1" ht="10.5">
      <c r="A89" s="37" t="s">
        <v>100</v>
      </c>
      <c r="B89" s="228">
        <v>0</v>
      </c>
      <c r="C89" s="307">
        <f t="shared" si="14"/>
        <v>-1</v>
      </c>
      <c r="D89" s="228">
        <v>0.13</v>
      </c>
      <c r="E89" s="307"/>
      <c r="F89" s="49">
        <v>0</v>
      </c>
      <c r="G89" s="307"/>
      <c r="H89" s="228">
        <v>0</v>
      </c>
      <c r="I89" s="267"/>
      <c r="J89" s="49">
        <v>0</v>
      </c>
      <c r="K89" s="4"/>
      <c r="L89" s="4"/>
      <c r="M89" s="4"/>
    </row>
    <row r="90" spans="1:13" s="6" customFormat="1" ht="10">
      <c r="A90" s="37" t="s">
        <v>101</v>
      </c>
      <c r="B90" s="228">
        <v>150.19999999999999</v>
      </c>
      <c r="C90" s="307">
        <f t="shared" si="14"/>
        <v>-0.27961630695443651</v>
      </c>
      <c r="D90" s="228">
        <v>208.5</v>
      </c>
      <c r="E90" s="307">
        <f t="shared" si="9"/>
        <v>2.704690831556503</v>
      </c>
      <c r="F90" s="49">
        <v>56.28</v>
      </c>
      <c r="G90" s="307">
        <f t="shared" si="12"/>
        <v>-0.62108664916178546</v>
      </c>
      <c r="H90" s="228">
        <v>148.53</v>
      </c>
      <c r="I90" s="267">
        <f t="shared" si="15"/>
        <v>-0.51023840142447319</v>
      </c>
      <c r="J90" s="49">
        <v>303.27</v>
      </c>
      <c r="K90" s="8"/>
      <c r="L90" s="8"/>
      <c r="M90" s="8"/>
    </row>
    <row r="91" spans="1:13" s="6" customFormat="1" ht="10">
      <c r="A91" s="37" t="s">
        <v>102</v>
      </c>
      <c r="B91" s="228">
        <v>13.76</v>
      </c>
      <c r="C91" s="307">
        <f t="shared" si="14"/>
        <v>-0.54041416165664669</v>
      </c>
      <c r="D91" s="228">
        <v>29.94</v>
      </c>
      <c r="E91" s="307">
        <f t="shared" si="9"/>
        <v>-0.13965517241379299</v>
      </c>
      <c r="F91" s="49">
        <v>34.799999999999997</v>
      </c>
      <c r="G91" s="307">
        <f t="shared" si="12"/>
        <v>2.1636363636363636</v>
      </c>
      <c r="H91" s="228">
        <v>11</v>
      </c>
      <c r="I91" s="267">
        <f t="shared" si="15"/>
        <v>6.6925315227934101E-2</v>
      </c>
      <c r="J91" s="49">
        <v>10.31</v>
      </c>
      <c r="K91" s="8"/>
      <c r="L91" s="8"/>
      <c r="M91" s="8"/>
    </row>
    <row r="92" spans="1:13" s="6" customFormat="1" ht="10">
      <c r="A92" s="37" t="s">
        <v>103</v>
      </c>
      <c r="B92" s="228">
        <v>0</v>
      </c>
      <c r="C92" s="307">
        <f t="shared" si="14"/>
        <v>-1</v>
      </c>
      <c r="D92" s="228">
        <v>1.1599999999999999</v>
      </c>
      <c r="E92" s="307">
        <f t="shared" si="9"/>
        <v>-0.77820267686424471</v>
      </c>
      <c r="F92" s="49">
        <v>5.23</v>
      </c>
      <c r="G92" s="307">
        <f t="shared" si="12"/>
        <v>0.21911421911421924</v>
      </c>
      <c r="H92" s="228">
        <v>4.29</v>
      </c>
      <c r="I92" s="267">
        <f t="shared" si="15"/>
        <v>-0.28260869565217395</v>
      </c>
      <c r="J92" s="49">
        <v>5.98</v>
      </c>
      <c r="K92" s="8"/>
      <c r="L92" s="8"/>
      <c r="M92" s="8"/>
    </row>
    <row r="93" spans="1:13" s="6" customFormat="1" ht="10">
      <c r="A93" s="37" t="s">
        <v>104</v>
      </c>
      <c r="B93" s="228">
        <v>0.3</v>
      </c>
      <c r="C93" s="307">
        <f t="shared" si="14"/>
        <v>-0.97900629811056683</v>
      </c>
      <c r="D93" s="228">
        <v>14.29</v>
      </c>
      <c r="E93" s="307">
        <f t="shared" si="9"/>
        <v>5.4954545454545443</v>
      </c>
      <c r="F93" s="49">
        <v>2.2000000000000002</v>
      </c>
      <c r="G93" s="307">
        <f t="shared" si="12"/>
        <v>-0.16666666666666663</v>
      </c>
      <c r="H93" s="228">
        <v>2.64</v>
      </c>
      <c r="I93" s="267">
        <f t="shared" si="15"/>
        <v>5.179282868525914E-2</v>
      </c>
      <c r="J93" s="49">
        <v>2.5099999999999998</v>
      </c>
      <c r="K93" s="8"/>
      <c r="L93" s="8"/>
      <c r="M93" s="8"/>
    </row>
    <row r="94" spans="1:13" s="6" customFormat="1" ht="10">
      <c r="A94" s="37" t="s">
        <v>105</v>
      </c>
      <c r="B94" s="230">
        <v>0.02</v>
      </c>
      <c r="C94" s="307">
        <f t="shared" si="14"/>
        <v>-0.97297297297297303</v>
      </c>
      <c r="D94" s="230">
        <v>0.74</v>
      </c>
      <c r="E94" s="307">
        <f t="shared" si="9"/>
        <v>-0.77844311377245512</v>
      </c>
      <c r="F94" s="51">
        <v>3.34</v>
      </c>
      <c r="G94" s="307">
        <f t="shared" si="12"/>
        <v>-0.70520741394527797</v>
      </c>
      <c r="H94" s="230">
        <v>11.33</v>
      </c>
      <c r="I94" s="267">
        <f t="shared" si="15"/>
        <v>-0.61851851851851847</v>
      </c>
      <c r="J94" s="51">
        <v>29.7</v>
      </c>
      <c r="K94" s="8"/>
      <c r="L94" s="8"/>
      <c r="M94" s="8"/>
    </row>
    <row r="95" spans="1:13" s="6" customFormat="1" ht="10">
      <c r="A95" s="37" t="s">
        <v>106</v>
      </c>
      <c r="B95" s="230">
        <v>0.02</v>
      </c>
      <c r="C95" s="307">
        <f>IF((+B95/D95)&lt;0,"n.m.",IF(B95&lt;0,(+B95/D95-1)*-1,(+B95/D95-1)))</f>
        <v>-0.90909090909090906</v>
      </c>
      <c r="D95" s="230">
        <v>0.22</v>
      </c>
      <c r="E95" s="307"/>
      <c r="F95" s="51">
        <v>0</v>
      </c>
      <c r="G95" s="307"/>
      <c r="H95" s="228">
        <v>0</v>
      </c>
      <c r="I95" s="267"/>
      <c r="J95" s="49">
        <v>0</v>
      </c>
      <c r="K95" s="8"/>
      <c r="L95" s="8"/>
      <c r="M95" s="8"/>
    </row>
    <row r="96" spans="1:13" s="6" customFormat="1" ht="10">
      <c r="A96" s="41" t="s">
        <v>86</v>
      </c>
      <c r="B96" s="179">
        <f>B74</f>
        <v>6603.7</v>
      </c>
      <c r="C96" s="307">
        <f t="shared" ref="C96:C101" si="16">IF((+B96/D96)&lt;0,"n.m.",IF(B96&lt;0,(+B96/D96-1)*-1,(+B96/D96-1)))</f>
        <v>9.8752450009816695E-2</v>
      </c>
      <c r="D96" s="179">
        <f>D74</f>
        <v>6010.18</v>
      </c>
      <c r="E96" s="307">
        <f t="shared" si="9"/>
        <v>4.7135360405879068E-2</v>
      </c>
      <c r="F96" s="52">
        <f>F74</f>
        <v>5739.64</v>
      </c>
      <c r="G96" s="307">
        <f t="shared" si="12"/>
        <v>0.10907917466967088</v>
      </c>
      <c r="H96" s="179">
        <f>H74</f>
        <v>5175.1400000000003</v>
      </c>
      <c r="I96" s="267">
        <f t="shared" si="15"/>
        <v>0.42683367291515606</v>
      </c>
      <c r="J96" s="52">
        <f>J74</f>
        <v>3627.01</v>
      </c>
      <c r="K96" s="8"/>
      <c r="L96" s="8"/>
      <c r="M96" s="8"/>
    </row>
    <row r="97" spans="1:13" s="6" customFormat="1" ht="10">
      <c r="A97" s="41" t="s">
        <v>87</v>
      </c>
      <c r="B97" s="179">
        <f>B75</f>
        <v>5.46</v>
      </c>
      <c r="C97" s="307">
        <f t="shared" si="16"/>
        <v>-0.72479838709677424</v>
      </c>
      <c r="D97" s="179">
        <f>D75</f>
        <v>19.84</v>
      </c>
      <c r="E97" s="307">
        <f t="shared" si="9"/>
        <v>0.29082628497072216</v>
      </c>
      <c r="F97" s="52">
        <f>F75</f>
        <v>15.37</v>
      </c>
      <c r="G97" s="307">
        <f t="shared" si="12"/>
        <v>-0.49240422721268173</v>
      </c>
      <c r="H97" s="179">
        <f>H75</f>
        <v>30.28</v>
      </c>
      <c r="I97" s="267">
        <f t="shared" si="15"/>
        <v>0.42628356099858689</v>
      </c>
      <c r="J97" s="52">
        <f>J75</f>
        <v>21.23</v>
      </c>
      <c r="K97" s="8"/>
      <c r="L97" s="8"/>
      <c r="M97" s="8"/>
    </row>
    <row r="98" spans="1:13" s="2" customFormat="1" ht="10.5">
      <c r="A98" s="41" t="s">
        <v>107</v>
      </c>
      <c r="B98" s="178">
        <f>B76+B77+B78+B79+B80+B81+B82+B83+B84+B85</f>
        <v>1468.77</v>
      </c>
      <c r="C98" s="307">
        <f t="shared" si="16"/>
        <v>-9.2326516991416252E-2</v>
      </c>
      <c r="D98" s="178">
        <f>D76+D77+D78+D79+D80+D81+D82+D83+D84+D85</f>
        <v>1618.17</v>
      </c>
      <c r="E98" s="307">
        <f t="shared" si="9"/>
        <v>0.1593302669475134</v>
      </c>
      <c r="F98" s="50">
        <f>F76+F77+F78+F79+F80+F81+F82+F83+F84+F85</f>
        <v>1395.7799999999997</v>
      </c>
      <c r="G98" s="307">
        <f t="shared" si="12"/>
        <v>0.57576373365847</v>
      </c>
      <c r="H98" s="178">
        <f>H76+H77+H78+H79+H80+H81+H82+H83+H84+H85</f>
        <v>885.78000000000009</v>
      </c>
      <c r="I98" s="267">
        <f t="shared" si="15"/>
        <v>9.1978253633640206E-2</v>
      </c>
      <c r="J98" s="50">
        <f>J76+J77+J78+J79+J80+J81+J82+J83+J84+J85</f>
        <v>811.17000000000007</v>
      </c>
      <c r="K98" s="4"/>
      <c r="L98" s="4"/>
      <c r="M98" s="4"/>
    </row>
    <row r="99" spans="1:13" s="2" customFormat="1" ht="10.5">
      <c r="A99" s="41" t="s">
        <v>108</v>
      </c>
      <c r="B99" s="178">
        <f>B86+B87+B88+B89+B90+B91</f>
        <v>729.3900000000001</v>
      </c>
      <c r="C99" s="307">
        <f t="shared" si="16"/>
        <v>-0.35993155192839277</v>
      </c>
      <c r="D99" s="178">
        <f>D86+D87+D88+D89+D90+D91</f>
        <v>1139.5500000000002</v>
      </c>
      <c r="E99" s="307">
        <f t="shared" si="9"/>
        <v>0.16697388632872534</v>
      </c>
      <c r="F99" s="50">
        <f>F86+F87+F88+F89+F90+F91</f>
        <v>976.49999999999989</v>
      </c>
      <c r="G99" s="307">
        <f t="shared" si="12"/>
        <v>6.0318149736684701E-2</v>
      </c>
      <c r="H99" s="178">
        <f>H86+H87+H88+H89+H90+H91</f>
        <v>920.95</v>
      </c>
      <c r="I99" s="267">
        <f t="shared" si="15"/>
        <v>2.3448352503195213E-2</v>
      </c>
      <c r="J99" s="50">
        <f>J86+J87+J88+J89+J90+J91</f>
        <v>899.84999999999991</v>
      </c>
      <c r="K99" s="4"/>
      <c r="L99" s="4"/>
      <c r="M99" s="4"/>
    </row>
    <row r="100" spans="1:13" s="6" customFormat="1" ht="10">
      <c r="A100" s="41" t="s">
        <v>109</v>
      </c>
      <c r="B100" s="142">
        <f>B92+B93+B94+B95</f>
        <v>0.34</v>
      </c>
      <c r="C100" s="307">
        <f t="shared" si="16"/>
        <v>-0.97928092626447283</v>
      </c>
      <c r="D100" s="142">
        <f>D92+D93+D94+D95</f>
        <v>16.409999999999997</v>
      </c>
      <c r="E100" s="307">
        <f t="shared" si="9"/>
        <v>0.52367688022284087</v>
      </c>
      <c r="F100" s="142">
        <f>F92+F93+F94+F95</f>
        <v>10.77</v>
      </c>
      <c r="G100" s="307">
        <f t="shared" si="12"/>
        <v>-0.41018619934282585</v>
      </c>
      <c r="H100" s="142">
        <f>H92+H93+H94+H95</f>
        <v>18.259999999999998</v>
      </c>
      <c r="I100" s="267">
        <f t="shared" si="15"/>
        <v>-0.52186436239853373</v>
      </c>
      <c r="J100" s="142">
        <f>J92+J93+J94+J95</f>
        <v>38.19</v>
      </c>
      <c r="K100" s="8"/>
      <c r="L100" s="8"/>
      <c r="M100" s="8"/>
    </row>
    <row r="101" spans="1:13" s="30" customFormat="1" ht="10.4" customHeight="1">
      <c r="A101" s="28" t="s">
        <v>114</v>
      </c>
      <c r="B101" s="266">
        <f>SUM(B96:B100)</f>
        <v>8807.66</v>
      </c>
      <c r="C101" s="306">
        <f t="shared" si="16"/>
        <v>3.9867562456330496E-4</v>
      </c>
      <c r="D101" s="266">
        <f>SUM(D96:D100)</f>
        <v>8804.1500000000015</v>
      </c>
      <c r="E101" s="306">
        <f t="shared" si="9"/>
        <v>8.1848745278358948E-2</v>
      </c>
      <c r="F101" s="266">
        <f>SUM(F96:F100)</f>
        <v>8138.06</v>
      </c>
      <c r="G101" s="306">
        <f t="shared" si="12"/>
        <v>0.15755126656909058</v>
      </c>
      <c r="H101" s="266">
        <f>SUM(H96:H100)</f>
        <v>7030.41</v>
      </c>
      <c r="I101" s="294">
        <f t="shared" si="15"/>
        <v>0.30254286746519199</v>
      </c>
      <c r="J101" s="266">
        <f>SUM(J96:J100)</f>
        <v>5397.45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Width="0" orientation="landscape" r:id="rId1"/>
  <headerFooter alignWithMargins="0">
    <oddHeader>&amp;A</oddHeader>
  </headerFooter>
  <rowBreaks count="2" manualBreakCount="2">
    <brk id="42" max="10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1"/>
  <sheetViews>
    <sheetView view="pageBreakPreview" zoomScale="115" zoomScaleNormal="100" zoomScaleSheetLayoutView="115" workbookViewId="0">
      <pane xSplit="1" ySplit="1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baseColWidth="10" defaultColWidth="20.54296875" defaultRowHeight="12" customHeight="1" outlineLevelRow="1"/>
  <cols>
    <col min="1" max="1" width="20.54296875" style="92" customWidth="1"/>
    <col min="2" max="10" width="10.81640625" style="27" customWidth="1"/>
    <col min="11" max="16384" width="20.54296875" style="92"/>
  </cols>
  <sheetData>
    <row r="1" spans="1:13" s="56" customFormat="1" ht="24.75" customHeight="1">
      <c r="A1" s="91" t="s">
        <v>122</v>
      </c>
      <c r="B1" s="152">
        <v>2019</v>
      </c>
      <c r="C1" s="152" t="s">
        <v>156</v>
      </c>
      <c r="D1" s="152">
        <v>2018</v>
      </c>
      <c r="E1" s="152" t="s">
        <v>151</v>
      </c>
      <c r="F1" s="152">
        <v>2017</v>
      </c>
      <c r="G1" s="152" t="s">
        <v>135</v>
      </c>
      <c r="H1" s="152">
        <v>2016</v>
      </c>
      <c r="I1" s="152" t="s">
        <v>130</v>
      </c>
      <c r="J1" s="1">
        <v>2015</v>
      </c>
    </row>
    <row r="2" spans="1:13" ht="3" hidden="1" customHeight="1" outlineLevel="1"/>
    <row r="3" spans="1:13" s="95" customFormat="1" ht="10.4" customHeight="1" collapsed="1">
      <c r="A3" s="93" t="s">
        <v>1</v>
      </c>
      <c r="B3" s="351">
        <f>B71</f>
        <v>4915.79</v>
      </c>
      <c r="C3" s="304">
        <f>IF((+B3/D3)&lt;0,"n.m.",IF(B3&lt;0,(+B3/D3-1)*-1,(+B3/D3-1)))</f>
        <v>5.9606488965912918E-2</v>
      </c>
      <c r="D3" s="351">
        <f>D71</f>
        <v>4639.2599999999993</v>
      </c>
      <c r="E3" s="304">
        <f>IF((+D3/F3)&lt;0,"n.m.",IF(D3&lt;0,(+D3/F3-1)*-1,(+D3/F3-1)))</f>
        <v>9.3752357600905389E-2</v>
      </c>
      <c r="F3" s="270">
        <f>F71</f>
        <v>4241.5999999999995</v>
      </c>
      <c r="G3" s="304">
        <f>IF((+F3/H3)&lt;0,"n.m.",IF(F3&lt;0,(+F3/H3-1)*-1,(+F3/H3-1)))</f>
        <v>6.0140265634919254E-2</v>
      </c>
      <c r="H3" s="231">
        <f>H71</f>
        <v>4000.9800000000005</v>
      </c>
      <c r="I3" s="280">
        <f t="shared" ref="I3:I7" si="0">IF((+H3/J3)&lt;0,"n.m.",IF(H3&lt;0,(+H3/J3-1)*-1,(+H3/J3-1)))</f>
        <v>-0.11778052668831973</v>
      </c>
      <c r="J3" s="94">
        <f>J71</f>
        <v>4535.13</v>
      </c>
    </row>
    <row r="4" spans="1:13" s="95" customFormat="1" ht="10.4" customHeight="1">
      <c r="A4" s="93" t="s">
        <v>2</v>
      </c>
      <c r="B4" s="351">
        <f>B101</f>
        <v>4489.37</v>
      </c>
      <c r="C4" s="304">
        <f t="shared" ref="C4:C7" si="1">IF((+B4/D4)&lt;0,"n.m.",IF(B4&lt;0,(+B4/D4-1)*-1,(+B4/D4-1)))</f>
        <v>4.1375550916260995E-2</v>
      </c>
      <c r="D4" s="351">
        <f>D101</f>
        <v>4310.9999999999991</v>
      </c>
      <c r="E4" s="304">
        <f t="shared" ref="E4:E7" si="2">IF((+D4/F4)&lt;0,"n.m.",IF(D4&lt;0,(+D4/F4-1)*-1,(+D4/F4-1)))</f>
        <v>-4.3010155946500928E-2</v>
      </c>
      <c r="F4" s="270">
        <f>F101</f>
        <v>4504.7499999999991</v>
      </c>
      <c r="G4" s="304">
        <f t="shared" ref="G4:G67" si="3">IF((+F4/H4)&lt;0,"n.m.",IF(F4&lt;0,(+F4/H4-1)*-1,(+F4/H4-1)))</f>
        <v>0.29349826710426918</v>
      </c>
      <c r="H4" s="231">
        <f>H101</f>
        <v>3482.61</v>
      </c>
      <c r="I4" s="280">
        <f t="shared" si="0"/>
        <v>1.4838459215802402E-3</v>
      </c>
      <c r="J4" s="94">
        <f>J101</f>
        <v>3477.4500000000007</v>
      </c>
    </row>
    <row r="5" spans="1:13" s="95" customFormat="1" ht="10.4" customHeight="1">
      <c r="A5" s="93" t="s">
        <v>3</v>
      </c>
      <c r="B5" s="351">
        <v>4879.5</v>
      </c>
      <c r="C5" s="304">
        <f t="shared" si="1"/>
        <v>7.9102563507159607E-2</v>
      </c>
      <c r="D5" s="351">
        <v>4521.8130000000001</v>
      </c>
      <c r="E5" s="304">
        <f t="shared" si="2"/>
        <v>0.11010775020806185</v>
      </c>
      <c r="F5" s="270">
        <v>4073.31</v>
      </c>
      <c r="G5" s="304">
        <f t="shared" si="3"/>
        <v>4.7521936366535344E-2</v>
      </c>
      <c r="H5" s="270">
        <v>3888.52</v>
      </c>
      <c r="I5" s="280">
        <f t="shared" si="0"/>
        <v>-0.11871904993937477</v>
      </c>
      <c r="J5" s="94">
        <v>4412.3500000000004</v>
      </c>
    </row>
    <row r="6" spans="1:13" s="95" customFormat="1" ht="10.4" customHeight="1">
      <c r="A6" s="93" t="s">
        <v>116</v>
      </c>
      <c r="B6" s="351">
        <v>121.97</v>
      </c>
      <c r="C6" s="304">
        <f t="shared" si="1"/>
        <v>-0.14121962725397275</v>
      </c>
      <c r="D6" s="351">
        <v>142.02699999999999</v>
      </c>
      <c r="E6" s="304">
        <f t="shared" si="2"/>
        <v>-0.30586481599139836</v>
      </c>
      <c r="F6" s="270">
        <v>204.61</v>
      </c>
      <c r="G6" s="304">
        <f t="shared" si="3"/>
        <v>8.8351063829787302E-2</v>
      </c>
      <c r="H6" s="234">
        <v>188</v>
      </c>
      <c r="I6" s="280">
        <f t="shared" si="0"/>
        <v>-4.5917745929925702E-2</v>
      </c>
      <c r="J6" s="94">
        <v>197.048</v>
      </c>
    </row>
    <row r="7" spans="1:13" s="95" customFormat="1" ht="10.4" customHeight="1">
      <c r="A7" s="93" t="s">
        <v>126</v>
      </c>
      <c r="B7" s="351">
        <v>121.97</v>
      </c>
      <c r="C7" s="304">
        <f t="shared" si="1"/>
        <v>-0.14121962725397275</v>
      </c>
      <c r="D7" s="351">
        <v>142.02699999999999</v>
      </c>
      <c r="E7" s="304">
        <f t="shared" si="2"/>
        <v>-0.30586481599139836</v>
      </c>
      <c r="F7" s="270">
        <v>204.61</v>
      </c>
      <c r="G7" s="304">
        <f t="shared" si="3"/>
        <v>8.8351063829787302E-2</v>
      </c>
      <c r="H7" s="234">
        <v>188</v>
      </c>
      <c r="I7" s="280">
        <f t="shared" si="0"/>
        <v>-4.5917745929925702E-2</v>
      </c>
      <c r="J7" s="94">
        <v>197.048</v>
      </c>
    </row>
    <row r="8" spans="1:13" ht="10.4" customHeight="1">
      <c r="A8" s="96" t="s">
        <v>117</v>
      </c>
      <c r="B8" s="232">
        <f>B6/B5</f>
        <v>2.4996413566963829E-2</v>
      </c>
      <c r="C8" s="305"/>
      <c r="D8" s="232">
        <f>D6/D5</f>
        <v>3.1409304188386382E-2</v>
      </c>
      <c r="E8" s="305"/>
      <c r="F8" s="97">
        <f>F6/F5</f>
        <v>5.0231875305341359E-2</v>
      </c>
      <c r="G8" s="305"/>
      <c r="H8" s="232">
        <f>H6/H5</f>
        <v>4.8347443243187641E-2</v>
      </c>
      <c r="I8" s="97"/>
      <c r="J8" s="97">
        <f>J6/J5</f>
        <v>4.465828866703684E-2</v>
      </c>
    </row>
    <row r="9" spans="1:13" ht="10.4" customHeight="1">
      <c r="A9" s="96" t="s">
        <v>118</v>
      </c>
      <c r="B9" s="233">
        <f>B3/Group!B2</f>
        <v>0.29581170263275236</v>
      </c>
      <c r="C9" s="305"/>
      <c r="D9" s="233">
        <f>D3/Group!D2</f>
        <v>0.28421822619537723</v>
      </c>
      <c r="E9" s="305"/>
      <c r="F9" s="98">
        <f>F3/Group!F2</f>
        <v>0.29010545869642679</v>
      </c>
      <c r="G9" s="305"/>
      <c r="H9" s="233">
        <f>H3/Group!H2</f>
        <v>0.29656594048045259</v>
      </c>
      <c r="I9" s="98"/>
      <c r="J9" s="98">
        <f>J3/Group!J2</f>
        <v>0.31736922103660242</v>
      </c>
    </row>
    <row r="10" spans="1:13" ht="10.4" customHeight="1">
      <c r="A10" s="96" t="s">
        <v>119</v>
      </c>
      <c r="B10" s="233">
        <f>B4/Group!B3</f>
        <v>0.25783965521598395</v>
      </c>
      <c r="C10" s="305"/>
      <c r="D10" s="233">
        <f>D4/Group!D3</f>
        <v>0.25509313473426465</v>
      </c>
      <c r="E10" s="305"/>
      <c r="F10" s="98">
        <f>F4/Group!F3</f>
        <v>0.2715034531972586</v>
      </c>
      <c r="G10" s="305"/>
      <c r="H10" s="233">
        <f>H4/Group!H3</f>
        <v>0.23506070212928237</v>
      </c>
      <c r="I10" s="98"/>
      <c r="J10" s="98">
        <f>J4/Group!J3</f>
        <v>0.26475532525592754</v>
      </c>
    </row>
    <row r="11" spans="1:13" ht="10.4" customHeight="1">
      <c r="A11" s="96"/>
      <c r="B11" s="391"/>
      <c r="C11" s="305"/>
      <c r="D11" s="391"/>
      <c r="E11" s="305"/>
      <c r="F11" s="99"/>
      <c r="G11" s="305"/>
      <c r="H11" s="99"/>
      <c r="I11" s="99"/>
      <c r="J11" s="99"/>
    </row>
    <row r="12" spans="1:13" s="95" customFormat="1" ht="10.4" customHeight="1">
      <c r="A12" s="100" t="s">
        <v>85</v>
      </c>
      <c r="B12" s="101"/>
      <c r="C12" s="305"/>
      <c r="D12" s="101"/>
      <c r="E12" s="305"/>
      <c r="F12" s="101"/>
      <c r="G12" s="305"/>
      <c r="H12" s="101"/>
      <c r="I12" s="101"/>
      <c r="J12" s="101"/>
    </row>
    <row r="13" spans="1:13" s="2" customFormat="1" ht="10.5">
      <c r="A13" s="102" t="s">
        <v>86</v>
      </c>
      <c r="B13" s="235">
        <v>538</v>
      </c>
      <c r="C13" s="305">
        <f>IF((+B13/D13)&lt;0,"n.m.",IF(B13&lt;0,(+B13/D13-1)*-1,(+B13/D13-1)))</f>
        <v>0.13983050847457634</v>
      </c>
      <c r="D13" s="235">
        <v>472</v>
      </c>
      <c r="E13" s="305">
        <f>IF((+D13/F13)&lt;0,"n.m.",IF(D13&lt;0,(+D13/F13-1)*-1,(+D13/F13-1)))</f>
        <v>6.3063063063063085E-2</v>
      </c>
      <c r="F13" s="103">
        <v>444</v>
      </c>
      <c r="G13" s="305">
        <f t="shared" si="3"/>
        <v>-0.20572450805008946</v>
      </c>
      <c r="H13" s="235">
        <v>559</v>
      </c>
      <c r="I13" s="271">
        <f>IF((+H13/J13)&lt;0,"n.m.",IF(H13&lt;0,(+H13/J13-1)*-1,(+H13/J13-1)))</f>
        <v>-3.7865748709122182E-2</v>
      </c>
      <c r="J13" s="103">
        <v>581</v>
      </c>
      <c r="K13" s="4"/>
      <c r="L13" s="4"/>
      <c r="M13" s="4"/>
    </row>
    <row r="14" spans="1:13" s="2" customFormat="1" ht="10.5">
      <c r="A14" s="102" t="s">
        <v>87</v>
      </c>
      <c r="B14" s="235">
        <v>7708</v>
      </c>
      <c r="C14" s="305">
        <f t="shared" ref="C14:C34" si="4">IF((+B14/D14)&lt;0,"n.m.",IF(B14&lt;0,(+B14/D14-1)*-1,(+B14/D14-1)))</f>
        <v>6.5671229088898109E-2</v>
      </c>
      <c r="D14" s="235">
        <v>7233</v>
      </c>
      <c r="E14" s="305">
        <f t="shared" ref="E14:E40" si="5">IF((+D14/F14)&lt;0,"n.m.",IF(D14&lt;0,(+D14/F14-1)*-1,(+D14/F14-1)))</f>
        <v>5.2685198661039045E-2</v>
      </c>
      <c r="F14" s="103">
        <v>6871</v>
      </c>
      <c r="G14" s="305">
        <f t="shared" si="3"/>
        <v>1.6871392629865367E-2</v>
      </c>
      <c r="H14" s="235">
        <v>6757</v>
      </c>
      <c r="I14" s="271">
        <f t="shared" ref="I14:I39" si="6">IF((+H14/J14)&lt;0,"n.m.",IF(H14&lt;0,(+H14/J14-1)*-1,(+H14/J14-1)))</f>
        <v>-1.0253405595429865E-2</v>
      </c>
      <c r="J14" s="103">
        <v>6827</v>
      </c>
      <c r="K14" s="4"/>
      <c r="L14" s="4"/>
      <c r="M14" s="4"/>
    </row>
    <row r="15" spans="1:13" s="2" customFormat="1" ht="10.5">
      <c r="A15" s="102" t="s">
        <v>88</v>
      </c>
      <c r="B15" s="235">
        <v>4</v>
      </c>
      <c r="C15" s="305">
        <f t="shared" si="4"/>
        <v>0</v>
      </c>
      <c r="D15" s="235">
        <v>4</v>
      </c>
      <c r="E15" s="305">
        <f t="shared" si="5"/>
        <v>-0.33333333333333337</v>
      </c>
      <c r="F15" s="103">
        <v>6</v>
      </c>
      <c r="G15" s="305">
        <f t="shared" si="3"/>
        <v>-0.85</v>
      </c>
      <c r="H15" s="235">
        <v>40</v>
      </c>
      <c r="I15" s="271">
        <f t="shared" si="6"/>
        <v>-4.7619047619047672E-2</v>
      </c>
      <c r="J15" s="103">
        <v>42</v>
      </c>
      <c r="K15" s="4"/>
      <c r="L15" s="4"/>
      <c r="M15" s="4"/>
    </row>
    <row r="16" spans="1:13" s="2" customFormat="1" ht="10.5">
      <c r="A16" s="102" t="s">
        <v>89</v>
      </c>
      <c r="B16" s="235">
        <v>2759</v>
      </c>
      <c r="C16" s="305">
        <f t="shared" si="4"/>
        <v>7.1040372670807539E-2</v>
      </c>
      <c r="D16" s="235">
        <v>2576</v>
      </c>
      <c r="E16" s="305">
        <f t="shared" si="5"/>
        <v>3.0399999999999983E-2</v>
      </c>
      <c r="F16" s="103">
        <v>2500</v>
      </c>
      <c r="G16" s="305">
        <f t="shared" si="3"/>
        <v>-2.7237354085603127E-2</v>
      </c>
      <c r="H16" s="235">
        <v>2570</v>
      </c>
      <c r="I16" s="271">
        <f t="shared" si="6"/>
        <v>-1.2677679600460956E-2</v>
      </c>
      <c r="J16" s="103">
        <v>2603</v>
      </c>
      <c r="K16" s="4"/>
      <c r="L16" s="4"/>
      <c r="M16" s="4"/>
    </row>
    <row r="17" spans="1:13" s="6" customFormat="1" ht="10">
      <c r="A17" s="102" t="s">
        <v>90</v>
      </c>
      <c r="B17" s="235">
        <v>1993</v>
      </c>
      <c r="C17" s="305">
        <f t="shared" si="4"/>
        <v>6.5205772314270494E-2</v>
      </c>
      <c r="D17" s="235">
        <v>1871</v>
      </c>
      <c r="E17" s="305">
        <f t="shared" si="5"/>
        <v>0.13462704669496661</v>
      </c>
      <c r="F17" s="103">
        <v>1649</v>
      </c>
      <c r="G17" s="305">
        <f t="shared" si="3"/>
        <v>4.2351453855878685E-2</v>
      </c>
      <c r="H17" s="235">
        <v>1582</v>
      </c>
      <c r="I17" s="271">
        <f t="shared" si="6"/>
        <v>-5.2127022168963477E-2</v>
      </c>
      <c r="J17" s="103">
        <v>1669</v>
      </c>
      <c r="K17" s="8"/>
      <c r="L17" s="8"/>
      <c r="M17" s="8"/>
    </row>
    <row r="18" spans="1:13" s="6" customFormat="1" ht="10">
      <c r="A18" s="102" t="s">
        <v>132</v>
      </c>
      <c r="B18" s="235">
        <v>531</v>
      </c>
      <c r="C18" s="305">
        <f t="shared" si="4"/>
        <v>-9.2307692307692313E-2</v>
      </c>
      <c r="D18" s="235">
        <v>585</v>
      </c>
      <c r="E18" s="305">
        <f t="shared" si="5"/>
        <v>-9.722222222222221E-2</v>
      </c>
      <c r="F18" s="103">
        <v>648</v>
      </c>
      <c r="G18" s="305">
        <f t="shared" si="3"/>
        <v>1.4084507042253502E-2</v>
      </c>
      <c r="H18" s="235">
        <v>639</v>
      </c>
      <c r="I18" s="271">
        <f t="shared" si="6"/>
        <v>-0.27220956719817768</v>
      </c>
      <c r="J18" s="103">
        <v>878</v>
      </c>
      <c r="K18" s="8"/>
      <c r="L18" s="8"/>
      <c r="M18" s="8"/>
    </row>
    <row r="19" spans="1:13" s="6" customFormat="1" ht="10">
      <c r="A19" s="102" t="s">
        <v>91</v>
      </c>
      <c r="B19" s="235">
        <v>1255</v>
      </c>
      <c r="C19" s="305">
        <f t="shared" si="4"/>
        <v>-5.2114803625377681E-2</v>
      </c>
      <c r="D19" s="235">
        <v>1324</v>
      </c>
      <c r="E19" s="305">
        <f t="shared" si="5"/>
        <v>3.7907505686125553E-3</v>
      </c>
      <c r="F19" s="103">
        <v>1319</v>
      </c>
      <c r="G19" s="305">
        <f t="shared" si="3"/>
        <v>1.3835511145272816E-2</v>
      </c>
      <c r="H19" s="235">
        <v>1301</v>
      </c>
      <c r="I19" s="271">
        <f t="shared" si="6"/>
        <v>-4.5906656465187767E-3</v>
      </c>
      <c r="J19" s="103">
        <v>1307</v>
      </c>
      <c r="K19" s="8"/>
      <c r="L19" s="8"/>
      <c r="M19" s="8"/>
    </row>
    <row r="20" spans="1:13" s="6" customFormat="1" ht="10">
      <c r="A20" s="102" t="s">
        <v>92</v>
      </c>
      <c r="B20" s="235">
        <v>1033</v>
      </c>
      <c r="C20" s="305">
        <f t="shared" si="4"/>
        <v>0.12404787812840046</v>
      </c>
      <c r="D20" s="235">
        <v>919</v>
      </c>
      <c r="E20" s="305">
        <f t="shared" si="5"/>
        <v>2.2246941045606317E-2</v>
      </c>
      <c r="F20" s="103">
        <v>899</v>
      </c>
      <c r="G20" s="305">
        <f t="shared" si="3"/>
        <v>3.0963302752293531E-2</v>
      </c>
      <c r="H20" s="235">
        <v>872</v>
      </c>
      <c r="I20" s="271">
        <f t="shared" si="6"/>
        <v>6.6014669926650393E-2</v>
      </c>
      <c r="J20" s="103">
        <v>818</v>
      </c>
      <c r="K20" s="8"/>
      <c r="L20" s="8"/>
      <c r="M20" s="8"/>
    </row>
    <row r="21" spans="1:13" s="6" customFormat="1" ht="10">
      <c r="A21" s="102" t="s">
        <v>93</v>
      </c>
      <c r="B21" s="235">
        <v>879</v>
      </c>
      <c r="C21" s="305">
        <f t="shared" si="4"/>
        <v>0.10012515644555697</v>
      </c>
      <c r="D21" s="235">
        <v>799</v>
      </c>
      <c r="E21" s="305">
        <f t="shared" si="5"/>
        <v>0.14964028776978422</v>
      </c>
      <c r="F21" s="103">
        <v>695</v>
      </c>
      <c r="G21" s="305">
        <f t="shared" si="3"/>
        <v>0.36811023622047245</v>
      </c>
      <c r="H21" s="235">
        <v>508</v>
      </c>
      <c r="I21" s="271">
        <f t="shared" si="6"/>
        <v>5.6133056133056192E-2</v>
      </c>
      <c r="J21" s="103">
        <v>481</v>
      </c>
      <c r="K21" s="8"/>
      <c r="L21" s="8"/>
      <c r="M21" s="8"/>
    </row>
    <row r="22" spans="1:13" s="6" customFormat="1" ht="10">
      <c r="A22" s="102" t="s">
        <v>94</v>
      </c>
      <c r="B22" s="235">
        <v>133</v>
      </c>
      <c r="C22" s="305">
        <f t="shared" si="4"/>
        <v>-6.3380281690140872E-2</v>
      </c>
      <c r="D22" s="235">
        <v>142</v>
      </c>
      <c r="E22" s="305">
        <f t="shared" si="5"/>
        <v>-0.23655913978494625</v>
      </c>
      <c r="F22" s="103">
        <v>186</v>
      </c>
      <c r="G22" s="305">
        <f t="shared" si="3"/>
        <v>6.8965517241379226E-2</v>
      </c>
      <c r="H22" s="235">
        <v>174</v>
      </c>
      <c r="I22" s="271">
        <f t="shared" si="6"/>
        <v>-2.2471910112359605E-2</v>
      </c>
      <c r="J22" s="103">
        <v>178</v>
      </c>
      <c r="K22" s="8"/>
      <c r="L22" s="8"/>
      <c r="M22" s="8"/>
    </row>
    <row r="23" spans="1:13" s="6" customFormat="1" ht="10">
      <c r="A23" s="102" t="s">
        <v>95</v>
      </c>
      <c r="B23" s="235">
        <v>1189</v>
      </c>
      <c r="C23" s="305">
        <f t="shared" si="4"/>
        <v>0.16683022571148176</v>
      </c>
      <c r="D23" s="235">
        <v>1019</v>
      </c>
      <c r="E23" s="305">
        <f t="shared" si="5"/>
        <v>0.17261219792865368</v>
      </c>
      <c r="F23" s="103">
        <v>869</v>
      </c>
      <c r="G23" s="305">
        <f t="shared" si="3"/>
        <v>0.19696969696969702</v>
      </c>
      <c r="H23" s="235">
        <v>726</v>
      </c>
      <c r="I23" s="271">
        <f t="shared" si="6"/>
        <v>0.27145359019264448</v>
      </c>
      <c r="J23" s="103">
        <v>571</v>
      </c>
      <c r="K23" s="8"/>
      <c r="L23" s="8"/>
      <c r="M23" s="8"/>
    </row>
    <row r="24" spans="1:13" s="6" customFormat="1" ht="10">
      <c r="A24" s="102" t="s">
        <v>96</v>
      </c>
      <c r="B24" s="235">
        <v>312</v>
      </c>
      <c r="C24" s="305">
        <f t="shared" si="4"/>
        <v>0.11428571428571432</v>
      </c>
      <c r="D24" s="235">
        <v>280</v>
      </c>
      <c r="E24" s="305">
        <f t="shared" si="5"/>
        <v>6.4638783269961975E-2</v>
      </c>
      <c r="F24" s="103">
        <v>263</v>
      </c>
      <c r="G24" s="305">
        <f t="shared" si="3"/>
        <v>7.6628352490422103E-3</v>
      </c>
      <c r="H24" s="235">
        <v>261</v>
      </c>
      <c r="I24" s="271">
        <f t="shared" si="6"/>
        <v>0</v>
      </c>
      <c r="J24" s="103">
        <v>261</v>
      </c>
      <c r="K24" s="8"/>
      <c r="L24" s="8"/>
      <c r="M24" s="8"/>
    </row>
    <row r="25" spans="1:13" s="6" customFormat="1" ht="10">
      <c r="A25" s="102" t="s">
        <v>97</v>
      </c>
      <c r="B25" s="235">
        <v>703</v>
      </c>
      <c r="C25" s="305">
        <f t="shared" si="4"/>
        <v>-8.1045751633986973E-2</v>
      </c>
      <c r="D25" s="235">
        <v>765</v>
      </c>
      <c r="E25" s="305">
        <f t="shared" si="5"/>
        <v>-6.9343065693430628E-2</v>
      </c>
      <c r="F25" s="103">
        <v>822</v>
      </c>
      <c r="G25" s="305">
        <f t="shared" si="3"/>
        <v>-0.13015873015873014</v>
      </c>
      <c r="H25" s="235">
        <v>945</v>
      </c>
      <c r="I25" s="271">
        <f t="shared" si="6"/>
        <v>-7.0796460176991149E-2</v>
      </c>
      <c r="J25" s="103">
        <v>1017</v>
      </c>
      <c r="K25" s="8"/>
      <c r="L25" s="8"/>
      <c r="M25" s="8"/>
    </row>
    <row r="26" spans="1:13" s="6" customFormat="1" ht="10">
      <c r="A26" s="102" t="s">
        <v>98</v>
      </c>
      <c r="B26" s="104">
        <v>8</v>
      </c>
      <c r="C26" s="305">
        <f t="shared" si="4"/>
        <v>-0.33333333333333337</v>
      </c>
      <c r="D26" s="104">
        <v>12</v>
      </c>
      <c r="E26" s="305">
        <f t="shared" si="5"/>
        <v>-7.6923076923076872E-2</v>
      </c>
      <c r="F26" s="104">
        <v>13</v>
      </c>
      <c r="G26" s="305">
        <f t="shared" si="3"/>
        <v>3.333333333333333</v>
      </c>
      <c r="H26" s="236">
        <v>3</v>
      </c>
      <c r="I26" s="271">
        <f t="shared" si="6"/>
        <v>0.5</v>
      </c>
      <c r="J26" s="104">
        <v>2</v>
      </c>
      <c r="K26" s="8"/>
      <c r="L26" s="8"/>
      <c r="M26" s="8"/>
    </row>
    <row r="27" spans="1:13" s="6" customFormat="1" ht="10">
      <c r="A27" s="102" t="s">
        <v>99</v>
      </c>
      <c r="B27" s="235">
        <v>0</v>
      </c>
      <c r="C27" s="305"/>
      <c r="D27" s="235">
        <v>0</v>
      </c>
      <c r="E27" s="305"/>
      <c r="F27" s="103">
        <v>0</v>
      </c>
      <c r="G27" s="305">
        <f t="shared" si="3"/>
        <v>-1</v>
      </c>
      <c r="H27" s="235">
        <v>8</v>
      </c>
      <c r="I27" s="271">
        <f t="shared" si="6"/>
        <v>-0.11111111111111116</v>
      </c>
      <c r="J27" s="103">
        <v>9</v>
      </c>
      <c r="K27" s="8"/>
      <c r="L27" s="8"/>
      <c r="M27" s="8"/>
    </row>
    <row r="28" spans="1:13" s="2" customFormat="1" ht="10.5">
      <c r="A28" s="102" t="s">
        <v>100</v>
      </c>
      <c r="B28" s="235">
        <v>14</v>
      </c>
      <c r="C28" s="305">
        <f t="shared" si="4"/>
        <v>-0.6216216216216216</v>
      </c>
      <c r="D28" s="235">
        <v>37</v>
      </c>
      <c r="E28" s="305">
        <f t="shared" si="5"/>
        <v>5.7142857142857162E-2</v>
      </c>
      <c r="F28" s="103">
        <v>35</v>
      </c>
      <c r="G28" s="305">
        <f t="shared" si="3"/>
        <v>0.2068965517241379</v>
      </c>
      <c r="H28" s="235">
        <v>29</v>
      </c>
      <c r="I28" s="271">
        <f t="shared" si="6"/>
        <v>0</v>
      </c>
      <c r="J28" s="103">
        <v>29</v>
      </c>
      <c r="K28" s="4"/>
      <c r="L28" s="4"/>
      <c r="M28" s="4"/>
    </row>
    <row r="29" spans="1:13" s="6" customFormat="1" ht="10">
      <c r="A29" s="102" t="s">
        <v>101</v>
      </c>
      <c r="B29" s="235">
        <v>0</v>
      </c>
      <c r="C29" s="305"/>
      <c r="D29" s="235">
        <v>0</v>
      </c>
      <c r="E29" s="305"/>
      <c r="F29" s="103">
        <v>0</v>
      </c>
      <c r="G29" s="305">
        <f t="shared" si="3"/>
        <v>-1</v>
      </c>
      <c r="H29" s="235">
        <v>1</v>
      </c>
      <c r="I29" s="271">
        <f t="shared" si="6"/>
        <v>0</v>
      </c>
      <c r="J29" s="103">
        <v>1</v>
      </c>
      <c r="K29" s="8"/>
      <c r="L29" s="8"/>
      <c r="M29" s="8"/>
    </row>
    <row r="30" spans="1:13" s="6" customFormat="1" ht="10">
      <c r="A30" s="102" t="s">
        <v>102</v>
      </c>
      <c r="B30" s="235">
        <v>758</v>
      </c>
      <c r="C30" s="305">
        <f t="shared" si="4"/>
        <v>0.15372907153729076</v>
      </c>
      <c r="D30" s="235">
        <v>657</v>
      </c>
      <c r="E30" s="305">
        <f t="shared" si="5"/>
        <v>-2.8106508875739622E-2</v>
      </c>
      <c r="F30" s="103">
        <v>676</v>
      </c>
      <c r="G30" s="305">
        <f t="shared" si="3"/>
        <v>-2.5936599423631135E-2</v>
      </c>
      <c r="H30" s="235">
        <v>694</v>
      </c>
      <c r="I30" s="271">
        <f t="shared" si="6"/>
        <v>8.0996884735202501E-2</v>
      </c>
      <c r="J30" s="103">
        <v>642</v>
      </c>
      <c r="K30" s="8"/>
      <c r="L30" s="8"/>
      <c r="M30" s="8"/>
    </row>
    <row r="31" spans="1:13" s="6" customFormat="1" ht="10">
      <c r="A31" s="102" t="s">
        <v>103</v>
      </c>
      <c r="B31" s="235">
        <v>11</v>
      </c>
      <c r="C31" s="305">
        <f t="shared" si="4"/>
        <v>0.375</v>
      </c>
      <c r="D31" s="235">
        <v>8</v>
      </c>
      <c r="E31" s="305">
        <f t="shared" si="5"/>
        <v>0.14285714285714279</v>
      </c>
      <c r="F31" s="103">
        <v>7</v>
      </c>
      <c r="G31" s="305">
        <f t="shared" si="3"/>
        <v>-0.70833333333333326</v>
      </c>
      <c r="H31" s="235">
        <v>24</v>
      </c>
      <c r="I31" s="271">
        <f t="shared" si="6"/>
        <v>-0.46666666666666667</v>
      </c>
      <c r="J31" s="103">
        <v>45</v>
      </c>
      <c r="K31" s="8"/>
      <c r="L31" s="8"/>
      <c r="M31" s="8"/>
    </row>
    <row r="32" spans="1:13" s="6" customFormat="1" ht="10">
      <c r="A32" s="102" t="s">
        <v>104</v>
      </c>
      <c r="B32" s="235">
        <v>3</v>
      </c>
      <c r="C32" s="305">
        <f t="shared" si="4"/>
        <v>-0.25</v>
      </c>
      <c r="D32" s="235">
        <v>4</v>
      </c>
      <c r="E32" s="305"/>
      <c r="F32" s="103">
        <v>0</v>
      </c>
      <c r="G32" s="305">
        <f t="shared" si="3"/>
        <v>-1</v>
      </c>
      <c r="H32" s="235">
        <v>2</v>
      </c>
      <c r="I32" s="271">
        <f t="shared" si="6"/>
        <v>-0.5</v>
      </c>
      <c r="J32" s="103">
        <v>4</v>
      </c>
      <c r="K32" s="8"/>
      <c r="L32" s="8"/>
      <c r="M32" s="8"/>
    </row>
    <row r="33" spans="1:13" s="6" customFormat="1" ht="10">
      <c r="A33" s="102" t="s">
        <v>105</v>
      </c>
      <c r="B33" s="237">
        <v>1</v>
      </c>
      <c r="C33" s="305">
        <f t="shared" si="4"/>
        <v>0</v>
      </c>
      <c r="D33" s="237">
        <v>1</v>
      </c>
      <c r="E33" s="305">
        <f t="shared" si="5"/>
        <v>-0.5</v>
      </c>
      <c r="F33" s="106">
        <v>2</v>
      </c>
      <c r="G33" s="305">
        <f t="shared" si="3"/>
        <v>-0.96491228070175439</v>
      </c>
      <c r="H33" s="237">
        <v>57</v>
      </c>
      <c r="I33" s="271">
        <f t="shared" si="6"/>
        <v>-0.21917808219178081</v>
      </c>
      <c r="J33" s="106">
        <v>73</v>
      </c>
      <c r="K33" s="8"/>
      <c r="L33" s="8"/>
      <c r="M33" s="8"/>
    </row>
    <row r="34" spans="1:13" s="6" customFormat="1" ht="10">
      <c r="A34" s="102" t="s">
        <v>106</v>
      </c>
      <c r="B34" s="237">
        <v>18</v>
      </c>
      <c r="C34" s="305">
        <f t="shared" si="4"/>
        <v>-0.1428571428571429</v>
      </c>
      <c r="D34" s="237">
        <v>21</v>
      </c>
      <c r="E34" s="305">
        <f t="shared" si="5"/>
        <v>0.75</v>
      </c>
      <c r="F34" s="106">
        <v>12</v>
      </c>
      <c r="G34" s="305">
        <f t="shared" si="3"/>
        <v>1</v>
      </c>
      <c r="H34" s="237">
        <v>6</v>
      </c>
      <c r="I34" s="271">
        <f t="shared" si="6"/>
        <v>0.19999999999999996</v>
      </c>
      <c r="J34" s="106">
        <v>5</v>
      </c>
      <c r="K34" s="8"/>
      <c r="L34" s="8"/>
      <c r="M34" s="8"/>
    </row>
    <row r="35" spans="1:13" s="6" customFormat="1" ht="10">
      <c r="A35" s="105" t="s">
        <v>86</v>
      </c>
      <c r="B35" s="237">
        <f>B13</f>
        <v>538</v>
      </c>
      <c r="C35" s="305">
        <f t="shared" ref="C35:C40" si="7">IF((+B35/D35)&lt;0,"n.m.",IF(B35&lt;0,(+B35/D35-1)*-1,(+B35/D35-1)))</f>
        <v>0.13983050847457634</v>
      </c>
      <c r="D35" s="237">
        <f>D13</f>
        <v>472</v>
      </c>
      <c r="E35" s="305">
        <f t="shared" si="5"/>
        <v>6.3063063063063085E-2</v>
      </c>
      <c r="F35" s="106">
        <f>F13</f>
        <v>444</v>
      </c>
      <c r="G35" s="305">
        <f t="shared" si="3"/>
        <v>-0.20572450805008946</v>
      </c>
      <c r="H35" s="237">
        <f>H13</f>
        <v>559</v>
      </c>
      <c r="I35" s="271">
        <f t="shared" si="6"/>
        <v>-3.7865748709122182E-2</v>
      </c>
      <c r="J35" s="106">
        <f>J13</f>
        <v>581</v>
      </c>
      <c r="K35" s="8"/>
      <c r="L35" s="8"/>
      <c r="M35" s="8"/>
    </row>
    <row r="36" spans="1:13" s="6" customFormat="1" ht="10">
      <c r="A36" s="105" t="s">
        <v>87</v>
      </c>
      <c r="B36" s="237">
        <f>B14</f>
        <v>7708</v>
      </c>
      <c r="C36" s="305">
        <f t="shared" si="7"/>
        <v>6.5671229088898109E-2</v>
      </c>
      <c r="D36" s="237">
        <f>D14</f>
        <v>7233</v>
      </c>
      <c r="E36" s="305">
        <f t="shared" si="5"/>
        <v>5.2685198661039045E-2</v>
      </c>
      <c r="F36" s="106">
        <f>F14</f>
        <v>6871</v>
      </c>
      <c r="G36" s="305">
        <f t="shared" si="3"/>
        <v>1.6871392629865367E-2</v>
      </c>
      <c r="H36" s="237">
        <f>H14</f>
        <v>6757</v>
      </c>
      <c r="I36" s="271">
        <f t="shared" si="6"/>
        <v>-1.0253405595429865E-2</v>
      </c>
      <c r="J36" s="106">
        <f>J14</f>
        <v>6827</v>
      </c>
      <c r="K36" s="8"/>
      <c r="L36" s="8"/>
      <c r="M36" s="8"/>
    </row>
    <row r="37" spans="1:13" s="2" customFormat="1" ht="10.5">
      <c r="A37" s="105" t="s">
        <v>107</v>
      </c>
      <c r="B37" s="237">
        <f>B15+B16+B17+B18+B19+B20+B21+B22+B23+B24</f>
        <v>10088</v>
      </c>
      <c r="C37" s="305">
        <f t="shared" si="7"/>
        <v>5.9775186469166908E-2</v>
      </c>
      <c r="D37" s="237">
        <f>D15+D16+D17+D18+D19+D20+D21+D22+D23+D24</f>
        <v>9519</v>
      </c>
      <c r="E37" s="305">
        <f t="shared" si="5"/>
        <v>5.3686074828426023E-2</v>
      </c>
      <c r="F37" s="106">
        <f>F15+F16+F17+F18+F19+F20+F21+F22+F23+F24</f>
        <v>9034</v>
      </c>
      <c r="G37" s="305">
        <f t="shared" si="3"/>
        <v>4.1623429032630055E-2</v>
      </c>
      <c r="H37" s="237">
        <f>H15+H16+H17+H18+H19+H20+H21+H22+H23+H24</f>
        <v>8673</v>
      </c>
      <c r="I37" s="271">
        <f t="shared" si="6"/>
        <v>-1.5326975476839255E-2</v>
      </c>
      <c r="J37" s="106">
        <f>J15+J16+J17+J18+J19+J20+J21+J22+J23+J24</f>
        <v>8808</v>
      </c>
      <c r="K37" s="4"/>
      <c r="L37" s="4"/>
      <c r="M37" s="4"/>
    </row>
    <row r="38" spans="1:13" s="2" customFormat="1" ht="10.5">
      <c r="A38" s="105" t="s">
        <v>108</v>
      </c>
      <c r="B38" s="237">
        <f>B25+B26+B27+B28+B29+B30</f>
        <v>1483</v>
      </c>
      <c r="C38" s="305">
        <f t="shared" si="7"/>
        <v>8.1577158395649274E-3</v>
      </c>
      <c r="D38" s="237">
        <f>D25+D26+D27+D28+D29+D30</f>
        <v>1471</v>
      </c>
      <c r="E38" s="305">
        <f t="shared" si="5"/>
        <v>-4.85122897800776E-2</v>
      </c>
      <c r="F38" s="106">
        <f>F25+F26+F27+F28+F29+F30</f>
        <v>1546</v>
      </c>
      <c r="G38" s="305">
        <f t="shared" si="3"/>
        <v>-7.9761904761904812E-2</v>
      </c>
      <c r="H38" s="237">
        <f>H25+H26+H27+H28+H29+H30</f>
        <v>1680</v>
      </c>
      <c r="I38" s="271">
        <f t="shared" si="6"/>
        <v>-1.1764705882352899E-2</v>
      </c>
      <c r="J38" s="106">
        <f>J25+J26+J27+J28+J29+J30</f>
        <v>1700</v>
      </c>
      <c r="K38" s="4"/>
      <c r="L38" s="4"/>
      <c r="M38" s="4"/>
    </row>
    <row r="39" spans="1:13" s="6" customFormat="1" ht="10">
      <c r="A39" s="105" t="s">
        <v>109</v>
      </c>
      <c r="B39" s="237">
        <f>B31+B32+B33+B34</f>
        <v>33</v>
      </c>
      <c r="C39" s="305">
        <f t="shared" si="7"/>
        <v>-2.9411764705882359E-2</v>
      </c>
      <c r="D39" s="237">
        <f>D31+D32+D33+D34</f>
        <v>34</v>
      </c>
      <c r="E39" s="305">
        <f t="shared" si="5"/>
        <v>0.61904761904761907</v>
      </c>
      <c r="F39" s="106">
        <f>F31+F32+F33+F34</f>
        <v>21</v>
      </c>
      <c r="G39" s="305">
        <f t="shared" si="3"/>
        <v>-0.7640449438202247</v>
      </c>
      <c r="H39" s="237">
        <f>H31+H32+H33+H34</f>
        <v>89</v>
      </c>
      <c r="I39" s="271">
        <f t="shared" si="6"/>
        <v>-0.29921259842519687</v>
      </c>
      <c r="J39" s="106">
        <f>J31+J32+J33+J34</f>
        <v>127</v>
      </c>
      <c r="K39" s="8"/>
      <c r="L39" s="8"/>
      <c r="M39" s="8"/>
    </row>
    <row r="40" spans="1:13" s="2" customFormat="1" ht="10.5">
      <c r="A40" s="100" t="s">
        <v>110</v>
      </c>
      <c r="B40" s="238">
        <f>SUM(B35:B39)</f>
        <v>19850</v>
      </c>
      <c r="C40" s="304">
        <f t="shared" si="7"/>
        <v>5.9853702813818188E-2</v>
      </c>
      <c r="D40" s="238">
        <f>SUM(D35:D39)</f>
        <v>18729</v>
      </c>
      <c r="E40" s="304">
        <f t="shared" si="5"/>
        <v>4.5378432685867276E-2</v>
      </c>
      <c r="F40" s="148">
        <f>SUM(F35:F39)</f>
        <v>17916</v>
      </c>
      <c r="G40" s="304">
        <f t="shared" si="3"/>
        <v>8.8973983556706049E-3</v>
      </c>
      <c r="H40" s="238">
        <f>SUM(H35:H39)</f>
        <v>17758</v>
      </c>
      <c r="I40" s="280">
        <f>IF((+H40/J40)&lt;0,"n.m.",IF(H40&lt;0,(+H40/J40-1)*-1,(+H40/J40-1)))</f>
        <v>-1.5795599401429938E-2</v>
      </c>
      <c r="J40" s="148">
        <f>SUM(J35:J39)</f>
        <v>18043</v>
      </c>
      <c r="K40" s="4"/>
      <c r="L40" s="4"/>
      <c r="M40" s="4"/>
    </row>
    <row r="41" spans="1:13" s="48" customFormat="1" ht="10">
      <c r="A41" s="107" t="s">
        <v>120</v>
      </c>
      <c r="B41" s="239">
        <f>B40/Group!B154</f>
        <v>0.25806367737490088</v>
      </c>
      <c r="C41" s="305"/>
      <c r="D41" s="239">
        <f>D40/Group!D154</f>
        <v>0.24819772064670023</v>
      </c>
      <c r="E41" s="305"/>
      <c r="F41" s="149">
        <f>F40/Group!F154</f>
        <v>0.24574783276637771</v>
      </c>
      <c r="G41" s="305"/>
      <c r="H41" s="239">
        <f>H40/Group!H154</f>
        <v>0.24719163685463327</v>
      </c>
      <c r="I41" s="149"/>
      <c r="J41" s="149">
        <f>J40/Group!J154</f>
        <v>0.24610243469958398</v>
      </c>
      <c r="K41" s="47"/>
      <c r="L41" s="47"/>
      <c r="M41" s="47"/>
    </row>
    <row r="42" spans="1:13" ht="12" customHeight="1">
      <c r="A42" s="96"/>
      <c r="B42" s="99"/>
      <c r="C42" s="305"/>
      <c r="D42" s="99"/>
      <c r="E42" s="305"/>
      <c r="F42" s="99"/>
      <c r="G42" s="305"/>
      <c r="H42" s="99"/>
      <c r="I42" s="99"/>
      <c r="J42" s="99"/>
    </row>
    <row r="43" spans="1:13" s="95" customFormat="1" ht="12" customHeight="1">
      <c r="A43" s="100" t="s">
        <v>1</v>
      </c>
      <c r="B43" s="101"/>
      <c r="C43" s="305"/>
      <c r="D43" s="101"/>
      <c r="E43" s="305"/>
      <c r="F43" s="101"/>
      <c r="G43" s="305"/>
      <c r="H43" s="101"/>
      <c r="I43" s="101"/>
      <c r="J43" s="101"/>
    </row>
    <row r="44" spans="1:13" s="2" customFormat="1" ht="10.5">
      <c r="A44" s="102" t="s">
        <v>86</v>
      </c>
      <c r="B44" s="246">
        <v>150.62</v>
      </c>
      <c r="C44" s="305">
        <f t="shared" ref="C44:C62" si="8">IF((+B44/D44)&lt;0,"n.m.",IF(B44&lt;0,(+B44/D44-1)*-1,(+B44/D44-1)))</f>
        <v>3.6827975493907816E-2</v>
      </c>
      <c r="D44" s="246">
        <v>145.27000000000001</v>
      </c>
      <c r="E44" s="305">
        <f t="shared" ref="E44:E101" si="9">IF((+D44/F44)&lt;0,"n.m.",IF(D44&lt;0,(+D44/F44-1)*-1,(+D44/F44-1)))</f>
        <v>0.18995740498034097</v>
      </c>
      <c r="F44" s="108">
        <v>122.08</v>
      </c>
      <c r="G44" s="305">
        <f t="shared" si="3"/>
        <v>-3.5474441020779013E-2</v>
      </c>
      <c r="H44" s="241">
        <v>126.57</v>
      </c>
      <c r="I44" s="271">
        <f t="shared" ref="I44:I70" si="10">IF((+H44/J44)&lt;0,"n.m.",IF(H44&lt;0,(+H44/J44-1)*-1,(+H44/J44-1)))</f>
        <v>-1.7389954196102897E-2</v>
      </c>
      <c r="J44" s="108">
        <v>128.81</v>
      </c>
      <c r="K44" s="4"/>
      <c r="L44" s="4"/>
      <c r="M44" s="4"/>
    </row>
    <row r="45" spans="1:13" s="2" customFormat="1" ht="10.5">
      <c r="A45" s="102" t="s">
        <v>87</v>
      </c>
      <c r="B45" s="246">
        <v>2175.7199999999998</v>
      </c>
      <c r="C45" s="305">
        <f t="shared" si="8"/>
        <v>9.9614883100342722E-2</v>
      </c>
      <c r="D45" s="246">
        <v>1978.62</v>
      </c>
      <c r="E45" s="305">
        <f t="shared" si="9"/>
        <v>0.11494162196276414</v>
      </c>
      <c r="F45" s="108">
        <v>1774.64</v>
      </c>
      <c r="G45" s="305">
        <f t="shared" si="3"/>
        <v>7.0918219561649121E-2</v>
      </c>
      <c r="H45" s="241">
        <v>1657.1200000000001</v>
      </c>
      <c r="I45" s="271">
        <f t="shared" si="10"/>
        <v>3.5984895846357778E-2</v>
      </c>
      <c r="J45" s="108">
        <v>1599.56</v>
      </c>
      <c r="K45" s="4"/>
      <c r="L45" s="4"/>
      <c r="M45" s="4"/>
    </row>
    <row r="46" spans="1:13" s="2" customFormat="1" ht="10.5">
      <c r="A46" s="102" t="s">
        <v>88</v>
      </c>
      <c r="B46" s="246">
        <v>3.11</v>
      </c>
      <c r="C46" s="305">
        <f t="shared" si="8"/>
        <v>16.277777777777779</v>
      </c>
      <c r="D46" s="246">
        <v>0.18</v>
      </c>
      <c r="E46" s="305">
        <f t="shared" si="9"/>
        <v>2.5999999999999996</v>
      </c>
      <c r="F46" s="108">
        <v>0.05</v>
      </c>
      <c r="G46" s="305">
        <f t="shared" si="3"/>
        <v>-0.99348958333333337</v>
      </c>
      <c r="H46" s="241">
        <v>7.68</v>
      </c>
      <c r="I46" s="271">
        <f t="shared" si="10"/>
        <v>-0.57118927973199329</v>
      </c>
      <c r="J46" s="108">
        <v>17.91</v>
      </c>
      <c r="K46" s="4"/>
      <c r="L46" s="4"/>
      <c r="M46" s="4"/>
    </row>
    <row r="47" spans="1:13" s="2" customFormat="1" ht="10.5">
      <c r="A47" s="102" t="s">
        <v>89</v>
      </c>
      <c r="B47" s="246">
        <v>635.72</v>
      </c>
      <c r="C47" s="305">
        <f t="shared" si="8"/>
        <v>0.14065275510020991</v>
      </c>
      <c r="D47" s="246">
        <v>557.33000000000004</v>
      </c>
      <c r="E47" s="305">
        <f t="shared" si="9"/>
        <v>0.10196535906358761</v>
      </c>
      <c r="F47" s="108">
        <v>505.76</v>
      </c>
      <c r="G47" s="305">
        <f t="shared" si="3"/>
        <v>-2.9381848887865436E-2</v>
      </c>
      <c r="H47" s="241">
        <v>521.07000000000005</v>
      </c>
      <c r="I47" s="271">
        <f t="shared" si="10"/>
        <v>-0.18991651508791563</v>
      </c>
      <c r="J47" s="108">
        <v>643.23</v>
      </c>
      <c r="K47" s="4"/>
      <c r="L47" s="4"/>
      <c r="M47" s="4"/>
    </row>
    <row r="48" spans="1:13" s="6" customFormat="1" ht="10">
      <c r="A48" s="102" t="s">
        <v>90</v>
      </c>
      <c r="B48" s="246">
        <v>677.29</v>
      </c>
      <c r="C48" s="305">
        <f t="shared" si="8"/>
        <v>0.24314452479718063</v>
      </c>
      <c r="D48" s="246">
        <v>544.82000000000005</v>
      </c>
      <c r="E48" s="305">
        <f t="shared" si="9"/>
        <v>0.34849759912875622</v>
      </c>
      <c r="F48" s="108">
        <v>404.02</v>
      </c>
      <c r="G48" s="305">
        <f t="shared" si="3"/>
        <v>0.25811976458132224</v>
      </c>
      <c r="H48" s="241">
        <v>321.13</v>
      </c>
      <c r="I48" s="271">
        <f t="shared" si="10"/>
        <v>-0.31132318250053614</v>
      </c>
      <c r="J48" s="108">
        <v>466.3</v>
      </c>
      <c r="K48" s="8"/>
      <c r="L48" s="8"/>
      <c r="M48" s="8"/>
    </row>
    <row r="49" spans="1:13" s="6" customFormat="1" ht="10">
      <c r="A49" s="102" t="s">
        <v>132</v>
      </c>
      <c r="B49" s="246">
        <v>67.66</v>
      </c>
      <c r="C49" s="305">
        <f t="shared" si="8"/>
        <v>-3.5907666001710026E-2</v>
      </c>
      <c r="D49" s="246">
        <v>70.180000000000007</v>
      </c>
      <c r="E49" s="305">
        <f t="shared" si="9"/>
        <v>-0.12624501992031856</v>
      </c>
      <c r="F49" s="108">
        <v>80.319999999999993</v>
      </c>
      <c r="G49" s="305">
        <f t="shared" si="3"/>
        <v>-2.6896050399806359E-2</v>
      </c>
      <c r="H49" s="241">
        <v>82.54</v>
      </c>
      <c r="I49" s="271">
        <f t="shared" si="10"/>
        <v>-0.52755995649934173</v>
      </c>
      <c r="J49" s="108">
        <v>174.71</v>
      </c>
      <c r="K49" s="8"/>
      <c r="L49" s="8"/>
      <c r="M49" s="8"/>
    </row>
    <row r="50" spans="1:13" s="6" customFormat="1" ht="10">
      <c r="A50" s="102" t="s">
        <v>91</v>
      </c>
      <c r="B50" s="246">
        <v>318.43</v>
      </c>
      <c r="C50" s="305">
        <f t="shared" si="8"/>
        <v>-0.30797148693875775</v>
      </c>
      <c r="D50" s="246">
        <v>460.14</v>
      </c>
      <c r="E50" s="305">
        <f t="shared" si="9"/>
        <v>-1.3760288065843618E-2</v>
      </c>
      <c r="F50" s="108">
        <v>466.56</v>
      </c>
      <c r="G50" s="305">
        <f t="shared" si="3"/>
        <v>0.10972099992864437</v>
      </c>
      <c r="H50" s="241">
        <v>420.43</v>
      </c>
      <c r="I50" s="271">
        <f t="shared" si="10"/>
        <v>-0.36876163593778144</v>
      </c>
      <c r="J50" s="108">
        <v>666.04</v>
      </c>
      <c r="K50" s="8"/>
      <c r="L50" s="8"/>
      <c r="M50" s="8"/>
    </row>
    <row r="51" spans="1:13" s="6" customFormat="1" ht="10">
      <c r="A51" s="102" t="s">
        <v>92</v>
      </c>
      <c r="B51" s="246">
        <v>178.57</v>
      </c>
      <c r="C51" s="305">
        <f t="shared" si="8"/>
        <v>0.14534026040664494</v>
      </c>
      <c r="D51" s="246">
        <v>155.91</v>
      </c>
      <c r="E51" s="305">
        <f t="shared" si="9"/>
        <v>5.5299851089752217E-2</v>
      </c>
      <c r="F51" s="108">
        <v>147.74</v>
      </c>
      <c r="G51" s="305">
        <f t="shared" si="3"/>
        <v>-0.33233911785972525</v>
      </c>
      <c r="H51" s="241">
        <v>221.28</v>
      </c>
      <c r="I51" s="271">
        <f t="shared" si="10"/>
        <v>8.8869205786832106E-2</v>
      </c>
      <c r="J51" s="108">
        <v>203.22</v>
      </c>
      <c r="K51" s="8"/>
      <c r="L51" s="8"/>
      <c r="M51" s="8"/>
    </row>
    <row r="52" spans="1:13" s="6" customFormat="1" ht="10">
      <c r="A52" s="102" t="s">
        <v>93</v>
      </c>
      <c r="B52" s="246">
        <v>131.21</v>
      </c>
      <c r="C52" s="305">
        <f t="shared" si="8"/>
        <v>-0.11230633921926791</v>
      </c>
      <c r="D52" s="246">
        <v>147.81</v>
      </c>
      <c r="E52" s="305">
        <f t="shared" si="9"/>
        <v>0.37779642058165552</v>
      </c>
      <c r="F52" s="108">
        <v>107.28</v>
      </c>
      <c r="G52" s="305">
        <f t="shared" si="3"/>
        <v>0.61032722906034209</v>
      </c>
      <c r="H52" s="241">
        <v>66.62</v>
      </c>
      <c r="I52" s="271">
        <f t="shared" si="10"/>
        <v>0.20122610890732062</v>
      </c>
      <c r="J52" s="108">
        <v>55.46</v>
      </c>
      <c r="K52" s="8"/>
      <c r="L52" s="8"/>
      <c r="M52" s="8"/>
    </row>
    <row r="53" spans="1:13" s="6" customFormat="1" ht="10">
      <c r="A53" s="102" t="s">
        <v>94</v>
      </c>
      <c r="B53" s="246">
        <v>42.15</v>
      </c>
      <c r="C53" s="305">
        <f t="shared" si="8"/>
        <v>-0.30388109000825758</v>
      </c>
      <c r="D53" s="246">
        <v>60.55</v>
      </c>
      <c r="E53" s="305">
        <f t="shared" si="9"/>
        <v>0.3357599823516435</v>
      </c>
      <c r="F53" s="108">
        <v>45.33</v>
      </c>
      <c r="G53" s="305">
        <f t="shared" si="3"/>
        <v>-9.5751047277079726E-2</v>
      </c>
      <c r="H53" s="241">
        <v>50.13</v>
      </c>
      <c r="I53" s="271">
        <f t="shared" si="10"/>
        <v>-0.43496393146979262</v>
      </c>
      <c r="J53" s="108">
        <v>88.72</v>
      </c>
      <c r="K53" s="8"/>
      <c r="L53" s="8"/>
      <c r="M53" s="8"/>
    </row>
    <row r="54" spans="1:13" s="6" customFormat="1" ht="10">
      <c r="A54" s="102" t="s">
        <v>95</v>
      </c>
      <c r="B54" s="246">
        <v>146.13</v>
      </c>
      <c r="C54" s="305">
        <f t="shared" si="8"/>
        <v>0.34125745754933456</v>
      </c>
      <c r="D54" s="246">
        <v>108.95</v>
      </c>
      <c r="E54" s="305">
        <f t="shared" si="9"/>
        <v>-2.3220369374215566E-2</v>
      </c>
      <c r="F54" s="108">
        <v>111.54</v>
      </c>
      <c r="G54" s="305">
        <f t="shared" si="3"/>
        <v>0.31161806208842902</v>
      </c>
      <c r="H54" s="241">
        <v>85.04</v>
      </c>
      <c r="I54" s="271">
        <f t="shared" si="10"/>
        <v>0.9808991381318426</v>
      </c>
      <c r="J54" s="108">
        <v>42.93</v>
      </c>
      <c r="K54" s="8"/>
      <c r="L54" s="8"/>
      <c r="M54" s="8"/>
    </row>
    <row r="55" spans="1:13" s="6" customFormat="1" ht="10">
      <c r="A55" s="102" t="s">
        <v>96</v>
      </c>
      <c r="B55" s="246">
        <v>35.9</v>
      </c>
      <c r="C55" s="305">
        <f t="shared" si="8"/>
        <v>-1.7515051997810671E-2</v>
      </c>
      <c r="D55" s="246">
        <v>36.54</v>
      </c>
      <c r="E55" s="305">
        <f t="shared" si="9"/>
        <v>-0.10243183492999264</v>
      </c>
      <c r="F55" s="108">
        <v>40.71</v>
      </c>
      <c r="G55" s="305">
        <f t="shared" si="3"/>
        <v>0.75853131749460068</v>
      </c>
      <c r="H55" s="241">
        <v>23.15</v>
      </c>
      <c r="I55" s="271">
        <f t="shared" si="10"/>
        <v>-0.26694110196326792</v>
      </c>
      <c r="J55" s="108">
        <v>31.58</v>
      </c>
      <c r="K55" s="8"/>
      <c r="L55" s="8"/>
      <c r="M55" s="8"/>
    </row>
    <row r="56" spans="1:13" s="6" customFormat="1" ht="10">
      <c r="A56" s="102" t="s">
        <v>97</v>
      </c>
      <c r="B56" s="246">
        <v>205.11</v>
      </c>
      <c r="C56" s="305">
        <f t="shared" si="8"/>
        <v>-0.12793367346938767</v>
      </c>
      <c r="D56" s="246">
        <v>235.2</v>
      </c>
      <c r="E56" s="305">
        <f t="shared" si="9"/>
        <v>-0.11794487155447209</v>
      </c>
      <c r="F56" s="108">
        <v>266.64999999999998</v>
      </c>
      <c r="G56" s="305">
        <f t="shared" si="3"/>
        <v>-0.11941481457019265</v>
      </c>
      <c r="H56" s="241">
        <v>302.81</v>
      </c>
      <c r="I56" s="271">
        <f t="shared" si="10"/>
        <v>8.3747897355141099E-2</v>
      </c>
      <c r="J56" s="108">
        <v>279.41000000000003</v>
      </c>
      <c r="K56" s="8"/>
      <c r="L56" s="8"/>
      <c r="M56" s="8"/>
    </row>
    <row r="57" spans="1:13" s="6" customFormat="1" ht="10">
      <c r="A57" s="102" t="s">
        <v>98</v>
      </c>
      <c r="B57" s="109">
        <v>2.5</v>
      </c>
      <c r="C57" s="305">
        <f t="shared" si="8"/>
        <v>-0.68982630272952861</v>
      </c>
      <c r="D57" s="109">
        <v>8.06</v>
      </c>
      <c r="E57" s="305">
        <f t="shared" si="9"/>
        <v>0.24191063174114036</v>
      </c>
      <c r="F57" s="109">
        <v>6.49</v>
      </c>
      <c r="G57" s="305">
        <f t="shared" si="3"/>
        <v>3.3851351351351351</v>
      </c>
      <c r="H57" s="242">
        <v>1.48</v>
      </c>
      <c r="I57" s="271">
        <f t="shared" si="10"/>
        <v>0.21311475409836067</v>
      </c>
      <c r="J57" s="109">
        <v>1.22</v>
      </c>
      <c r="K57" s="8"/>
      <c r="L57" s="8"/>
      <c r="M57" s="8"/>
    </row>
    <row r="58" spans="1:13" s="6" customFormat="1" ht="10">
      <c r="A58" s="102" t="s">
        <v>99</v>
      </c>
      <c r="B58" s="246">
        <v>0</v>
      </c>
      <c r="C58" s="305"/>
      <c r="D58" s="246">
        <v>0</v>
      </c>
      <c r="E58" s="305"/>
      <c r="F58" s="108">
        <v>0</v>
      </c>
      <c r="G58" s="305">
        <f t="shared" si="3"/>
        <v>-1</v>
      </c>
      <c r="H58" s="241">
        <v>4.6100000000000003</v>
      </c>
      <c r="I58" s="271">
        <f t="shared" si="10"/>
        <v>45.1</v>
      </c>
      <c r="J58" s="108">
        <v>0.1</v>
      </c>
      <c r="K58" s="8"/>
      <c r="L58" s="8"/>
      <c r="M58" s="8"/>
    </row>
    <row r="59" spans="1:13" s="2" customFormat="1" ht="10.5">
      <c r="A59" s="102" t="s">
        <v>100</v>
      </c>
      <c r="B59" s="246">
        <v>4.6900000000000004</v>
      </c>
      <c r="C59" s="305">
        <f t="shared" si="8"/>
        <v>-0.56654343807763397</v>
      </c>
      <c r="D59" s="246">
        <v>10.82</v>
      </c>
      <c r="E59" s="305">
        <f t="shared" si="9"/>
        <v>0.31310679611650483</v>
      </c>
      <c r="F59" s="108">
        <v>8.24</v>
      </c>
      <c r="G59" s="305">
        <f t="shared" si="3"/>
        <v>0.47670250896057342</v>
      </c>
      <c r="H59" s="241">
        <v>5.58</v>
      </c>
      <c r="I59" s="271">
        <f t="shared" si="10"/>
        <v>-0.10576923076923084</v>
      </c>
      <c r="J59" s="108">
        <v>6.24</v>
      </c>
      <c r="K59" s="4"/>
      <c r="L59" s="4"/>
      <c r="M59" s="4"/>
    </row>
    <row r="60" spans="1:13" s="6" customFormat="1" ht="10">
      <c r="A60" s="102" t="s">
        <v>101</v>
      </c>
      <c r="B60" s="246">
        <v>0.09</v>
      </c>
      <c r="C60" s="305">
        <f t="shared" si="8"/>
        <v>1.25</v>
      </c>
      <c r="D60" s="246">
        <v>0.04</v>
      </c>
      <c r="E60" s="305"/>
      <c r="F60" s="108">
        <v>0</v>
      </c>
      <c r="G60" s="305">
        <f t="shared" si="3"/>
        <v>-1</v>
      </c>
      <c r="H60" s="241">
        <v>1.24</v>
      </c>
      <c r="I60" s="271">
        <f t="shared" si="10"/>
        <v>40.333333333333336</v>
      </c>
      <c r="J60" s="108">
        <v>0.03</v>
      </c>
      <c r="K60" s="8"/>
      <c r="L60" s="8"/>
      <c r="M60" s="8"/>
    </row>
    <row r="61" spans="1:13" s="6" customFormat="1" ht="10">
      <c r="A61" s="102" t="s">
        <v>102</v>
      </c>
      <c r="B61" s="246">
        <v>121.05</v>
      </c>
      <c r="C61" s="305">
        <f t="shared" si="8"/>
        <v>0.22063123928607431</v>
      </c>
      <c r="D61" s="246">
        <v>99.17</v>
      </c>
      <c r="E61" s="305">
        <f t="shared" si="9"/>
        <v>-0.31588024282560712</v>
      </c>
      <c r="F61" s="108">
        <v>144.96</v>
      </c>
      <c r="G61" s="305">
        <f t="shared" si="3"/>
        <v>0.58218729535036018</v>
      </c>
      <c r="H61" s="241">
        <v>91.62</v>
      </c>
      <c r="I61" s="271">
        <f t="shared" si="10"/>
        <v>-9.043978953638443E-2</v>
      </c>
      <c r="J61" s="108">
        <v>100.73</v>
      </c>
      <c r="K61" s="8"/>
      <c r="L61" s="8"/>
      <c r="M61" s="8"/>
    </row>
    <row r="62" spans="1:13" s="6" customFormat="1" ht="10">
      <c r="A62" s="102" t="s">
        <v>103</v>
      </c>
      <c r="B62" s="246">
        <v>1.56</v>
      </c>
      <c r="C62" s="305">
        <f t="shared" si="8"/>
        <v>155</v>
      </c>
      <c r="D62" s="246">
        <v>0.01</v>
      </c>
      <c r="E62" s="305">
        <f t="shared" si="9"/>
        <v>-0.98780487804878048</v>
      </c>
      <c r="F62" s="108">
        <v>0.82000000000000006</v>
      </c>
      <c r="G62" s="305">
        <f t="shared" si="3"/>
        <v>-0.10869565217391297</v>
      </c>
      <c r="H62" s="241">
        <v>0.92</v>
      </c>
      <c r="I62" s="271">
        <f t="shared" si="10"/>
        <v>-0.92767295597484278</v>
      </c>
      <c r="J62" s="108">
        <v>12.72</v>
      </c>
      <c r="K62" s="8"/>
      <c r="L62" s="8"/>
      <c r="M62" s="8"/>
    </row>
    <row r="63" spans="1:13" s="6" customFormat="1" ht="10">
      <c r="A63" s="102" t="s">
        <v>104</v>
      </c>
      <c r="B63" s="246">
        <v>1.22</v>
      </c>
      <c r="C63" s="305">
        <f t="shared" ref="C63:C71" si="11">IF((+B63/D63)&lt;0,"n.m.",IF(B63&lt;0,(+B63/D63-1)*-1,(+B63/D63-1)))</f>
        <v>-0.72888888888888892</v>
      </c>
      <c r="D63" s="246">
        <v>4.5</v>
      </c>
      <c r="E63" s="305">
        <f t="shared" si="9"/>
        <v>89</v>
      </c>
      <c r="F63" s="108">
        <v>0.05</v>
      </c>
      <c r="G63" s="305">
        <f t="shared" si="3"/>
        <v>-0.91935483870967738</v>
      </c>
      <c r="H63" s="241">
        <v>0.62</v>
      </c>
      <c r="I63" s="271">
        <f t="shared" si="10"/>
        <v>-0.53030303030303028</v>
      </c>
      <c r="J63" s="108">
        <v>1.32</v>
      </c>
      <c r="K63" s="8"/>
      <c r="L63" s="8"/>
      <c r="M63" s="8"/>
    </row>
    <row r="64" spans="1:13" s="6" customFormat="1" ht="10">
      <c r="A64" s="102" t="s">
        <v>105</v>
      </c>
      <c r="B64" s="248">
        <v>0.15</v>
      </c>
      <c r="C64" s="305">
        <f t="shared" si="11"/>
        <v>1.5</v>
      </c>
      <c r="D64" s="248">
        <v>0.06</v>
      </c>
      <c r="E64" s="305">
        <f t="shared" si="9"/>
        <v>-0.96078431372549022</v>
      </c>
      <c r="F64" s="110">
        <v>1.53</v>
      </c>
      <c r="G64" s="305">
        <f t="shared" si="3"/>
        <v>-0.63397129186602874</v>
      </c>
      <c r="H64" s="243">
        <v>4.18</v>
      </c>
      <c r="I64" s="271">
        <f t="shared" si="10"/>
        <v>-0.64150943396226423</v>
      </c>
      <c r="J64" s="110">
        <v>11.66</v>
      </c>
      <c r="K64" s="8"/>
      <c r="L64" s="8"/>
      <c r="M64" s="8"/>
    </row>
    <row r="65" spans="1:13" s="6" customFormat="1" ht="10">
      <c r="A65" s="102" t="s">
        <v>106</v>
      </c>
      <c r="B65" s="248">
        <v>16.91</v>
      </c>
      <c r="C65" s="305">
        <f t="shared" si="11"/>
        <v>0.11986754966887414</v>
      </c>
      <c r="D65" s="248">
        <v>15.1</v>
      </c>
      <c r="E65" s="305">
        <f t="shared" si="9"/>
        <v>1.2108345534407028</v>
      </c>
      <c r="F65" s="110">
        <v>6.83</v>
      </c>
      <c r="G65" s="305">
        <f t="shared" si="3"/>
        <v>0.32364341085271309</v>
      </c>
      <c r="H65" s="243">
        <v>5.16</v>
      </c>
      <c r="I65" s="271">
        <f t="shared" si="10"/>
        <v>0.5975232198142415</v>
      </c>
      <c r="J65" s="110">
        <v>3.23</v>
      </c>
      <c r="K65" s="8"/>
      <c r="L65" s="8"/>
      <c r="M65" s="8"/>
    </row>
    <row r="66" spans="1:13" s="6" customFormat="1" ht="10">
      <c r="A66" s="105" t="s">
        <v>86</v>
      </c>
      <c r="B66" s="248">
        <f>B44</f>
        <v>150.62</v>
      </c>
      <c r="C66" s="305">
        <f t="shared" si="11"/>
        <v>3.6827975493907816E-2</v>
      </c>
      <c r="D66" s="248">
        <f>D44</f>
        <v>145.27000000000001</v>
      </c>
      <c r="E66" s="305">
        <f t="shared" si="9"/>
        <v>0.18995740498034097</v>
      </c>
      <c r="F66" s="110">
        <f>F44</f>
        <v>122.08</v>
      </c>
      <c r="G66" s="305">
        <f t="shared" si="3"/>
        <v>-3.5474441020779013E-2</v>
      </c>
      <c r="H66" s="243">
        <f>H44</f>
        <v>126.57</v>
      </c>
      <c r="I66" s="271">
        <f t="shared" si="10"/>
        <v>-1.7389954196102897E-2</v>
      </c>
      <c r="J66" s="110">
        <f>J44</f>
        <v>128.81</v>
      </c>
      <c r="K66" s="8"/>
      <c r="L66" s="8"/>
      <c r="M66" s="8"/>
    </row>
    <row r="67" spans="1:13" s="6" customFormat="1" ht="10">
      <c r="A67" s="105" t="s">
        <v>87</v>
      </c>
      <c r="B67" s="248">
        <f>B45</f>
        <v>2175.7199999999998</v>
      </c>
      <c r="C67" s="305">
        <f t="shared" si="11"/>
        <v>9.9614883100342722E-2</v>
      </c>
      <c r="D67" s="248">
        <f>D45</f>
        <v>1978.62</v>
      </c>
      <c r="E67" s="305">
        <f t="shared" si="9"/>
        <v>0.11494162196276414</v>
      </c>
      <c r="F67" s="110">
        <f>F45</f>
        <v>1774.64</v>
      </c>
      <c r="G67" s="305">
        <f t="shared" si="3"/>
        <v>7.0918219561649121E-2</v>
      </c>
      <c r="H67" s="243">
        <f>H45</f>
        <v>1657.1200000000001</v>
      </c>
      <c r="I67" s="271">
        <f t="shared" si="10"/>
        <v>3.5984895846357778E-2</v>
      </c>
      <c r="J67" s="110">
        <f>J45</f>
        <v>1599.56</v>
      </c>
      <c r="K67" s="8"/>
      <c r="L67" s="8"/>
      <c r="M67" s="8"/>
    </row>
    <row r="68" spans="1:13" s="2" customFormat="1" ht="10.5">
      <c r="A68" s="105" t="s">
        <v>107</v>
      </c>
      <c r="B68" s="248">
        <f>B46+B47+B48+B49+B50+B51+B52+B53+B54+B55</f>
        <v>2236.17</v>
      </c>
      <c r="C68" s="305">
        <f t="shared" si="11"/>
        <v>4.3763798712664892E-2</v>
      </c>
      <c r="D68" s="248">
        <f>D46+D47+D48+D49+D50+D51+D52+D53+D54+D55</f>
        <v>2142.41</v>
      </c>
      <c r="E68" s="305">
        <f t="shared" si="9"/>
        <v>0.12208598917933711</v>
      </c>
      <c r="F68" s="110">
        <f>F46+F47+F48+F49+F50+F51+F52+F53+F54+F55</f>
        <v>1909.3099999999997</v>
      </c>
      <c r="G68" s="305">
        <f t="shared" ref="G68:G101" si="12">IF((+F68/H68)&lt;0,"n.m.",IF(F68&lt;0,(+F68/H68-1)*-1,(+F68/H68-1)))</f>
        <v>6.12761037647227E-2</v>
      </c>
      <c r="H68" s="243">
        <f>H46+H47+H48+H49+H50+H51+H52+H53+H54+H55</f>
        <v>1799.0700000000002</v>
      </c>
      <c r="I68" s="271">
        <f t="shared" si="10"/>
        <v>-0.24728254047947762</v>
      </c>
      <c r="J68" s="110">
        <f>J46+J47+J48+J49+J50+J51+J52+J53+J54+J55</f>
        <v>2390.0999999999995</v>
      </c>
      <c r="K68" s="4"/>
      <c r="L68" s="4"/>
      <c r="M68" s="4"/>
    </row>
    <row r="69" spans="1:13" s="2" customFormat="1" ht="10.5">
      <c r="A69" s="105" t="s">
        <v>108</v>
      </c>
      <c r="B69" s="248">
        <f>B56+B57+B58+B59+B60+B61</f>
        <v>333.44</v>
      </c>
      <c r="C69" s="305">
        <f t="shared" si="11"/>
        <v>-5.6186136035551448E-2</v>
      </c>
      <c r="D69" s="248">
        <f>D56+D57+D58+D59+D60+D61</f>
        <v>353.28999999999996</v>
      </c>
      <c r="E69" s="305">
        <f t="shared" si="9"/>
        <v>-0.1713421213116294</v>
      </c>
      <c r="F69" s="110">
        <f>F56+F57+F58+F59+F60+F61</f>
        <v>426.34000000000003</v>
      </c>
      <c r="G69" s="305">
        <f t="shared" si="12"/>
        <v>4.6644081111602009E-2</v>
      </c>
      <c r="H69" s="243">
        <f>H56+H57+H58+H59+H60+H61</f>
        <v>407.34000000000003</v>
      </c>
      <c r="I69" s="271">
        <f t="shared" si="10"/>
        <v>5.0576432053232701E-2</v>
      </c>
      <c r="J69" s="110">
        <f>J56+J57+J58+J59+J60+J61</f>
        <v>387.73000000000008</v>
      </c>
      <c r="K69" s="4"/>
      <c r="L69" s="4"/>
      <c r="M69" s="4"/>
    </row>
    <row r="70" spans="1:13" s="6" customFormat="1" ht="10">
      <c r="A70" s="105" t="s">
        <v>109</v>
      </c>
      <c r="B70" s="248">
        <f>B62+B63+B64+B65</f>
        <v>19.84</v>
      </c>
      <c r="C70" s="305">
        <f t="shared" si="11"/>
        <v>8.6426029486528222E-3</v>
      </c>
      <c r="D70" s="248">
        <f>D62+D63+D64+D65</f>
        <v>19.669999999999998</v>
      </c>
      <c r="E70" s="305">
        <f t="shared" si="9"/>
        <v>1.1310942578548211</v>
      </c>
      <c r="F70" s="110">
        <f>F62+F63+F64+F65</f>
        <v>9.23</v>
      </c>
      <c r="G70" s="305">
        <f t="shared" si="12"/>
        <v>-0.15165441176470573</v>
      </c>
      <c r="H70" s="243">
        <f>H62+H63+H64+H65</f>
        <v>10.879999999999999</v>
      </c>
      <c r="I70" s="271">
        <f t="shared" si="10"/>
        <v>-0.62391980642931222</v>
      </c>
      <c r="J70" s="110">
        <f>J62+J63+J64+J65</f>
        <v>28.930000000000003</v>
      </c>
      <c r="K70" s="8"/>
      <c r="L70" s="8"/>
      <c r="M70" s="8"/>
    </row>
    <row r="71" spans="1:13" s="95" customFormat="1" ht="10.4" customHeight="1">
      <c r="A71" s="100" t="s">
        <v>113</v>
      </c>
      <c r="B71" s="270">
        <f>SUM(B66:B70)</f>
        <v>4915.79</v>
      </c>
      <c r="C71" s="304">
        <f t="shared" si="11"/>
        <v>5.9606488965912918E-2</v>
      </c>
      <c r="D71" s="270">
        <f>SUM(D66:D70)</f>
        <v>4639.2599999999993</v>
      </c>
      <c r="E71" s="304">
        <f t="shared" si="9"/>
        <v>9.3752357600905389E-2</v>
      </c>
      <c r="F71" s="94">
        <f>SUM(F66:F70)</f>
        <v>4241.5999999999995</v>
      </c>
      <c r="G71" s="304">
        <f t="shared" si="12"/>
        <v>6.0140265634919254E-2</v>
      </c>
      <c r="H71" s="240">
        <f>SUM(H66:H70)</f>
        <v>4000.9800000000005</v>
      </c>
      <c r="I71" s="280">
        <f t="shared" ref="I71" si="13">IF((+H71/J71)&lt;0,"n.m.",IF(H71&lt;0,(+H71/J71-1)*-1,(+H71/J71-1)))</f>
        <v>-0.11778052668831973</v>
      </c>
      <c r="J71" s="94">
        <f>SUM(J66:J70)</f>
        <v>4535.13</v>
      </c>
    </row>
    <row r="72" spans="1:13" ht="10.4" customHeight="1">
      <c r="A72" s="102"/>
      <c r="B72" s="105"/>
      <c r="C72" s="305"/>
      <c r="D72" s="105"/>
      <c r="E72" s="305"/>
      <c r="F72" s="105"/>
      <c r="G72" s="305"/>
      <c r="H72" s="105"/>
      <c r="I72" s="105"/>
      <c r="J72" s="105"/>
    </row>
    <row r="73" spans="1:13" ht="10.4" customHeight="1">
      <c r="A73" s="111" t="s">
        <v>2</v>
      </c>
      <c r="B73" s="112"/>
      <c r="C73" s="305"/>
      <c r="D73" s="112"/>
      <c r="E73" s="305"/>
      <c r="F73" s="112"/>
      <c r="G73" s="305"/>
      <c r="H73" s="112"/>
      <c r="I73" s="112"/>
      <c r="J73" s="112"/>
    </row>
    <row r="74" spans="1:13" s="2" customFormat="1" ht="10.5">
      <c r="A74" s="102" t="s">
        <v>86</v>
      </c>
      <c r="B74" s="246">
        <v>159.26</v>
      </c>
      <c r="C74" s="305">
        <f t="shared" ref="C74:C95" si="14">IF((+B74/D74)&lt;0,"n.m.",IF(B74&lt;0,(+B74/D74-1)*-1,(+B74/D74-1)))</f>
        <v>0.18119112957057015</v>
      </c>
      <c r="D74" s="246">
        <v>134.83000000000001</v>
      </c>
      <c r="E74" s="305">
        <f t="shared" si="9"/>
        <v>-3.9398689085209493E-2</v>
      </c>
      <c r="F74" s="108">
        <v>140.36000000000001</v>
      </c>
      <c r="G74" s="305">
        <f t="shared" si="12"/>
        <v>0.71547298948912275</v>
      </c>
      <c r="H74" s="246">
        <v>81.819999999999993</v>
      </c>
      <c r="I74" s="271">
        <f t="shared" ref="I74:I100" si="15">IF((+H74/J74)&lt;0,"n.m.",IF(H74&lt;0,(+H74/J74-1)*-1,(+H74/J74-1)))</f>
        <v>-5.832320777642841E-3</v>
      </c>
      <c r="J74" s="108">
        <v>82.3</v>
      </c>
      <c r="K74" s="4"/>
      <c r="L74" s="4"/>
      <c r="M74" s="4"/>
    </row>
    <row r="75" spans="1:13" s="2" customFormat="1" ht="10.5">
      <c r="A75" s="102" t="s">
        <v>87</v>
      </c>
      <c r="B75" s="246">
        <v>1579.83</v>
      </c>
      <c r="C75" s="305">
        <f t="shared" si="14"/>
        <v>-3.5124042654549492E-2</v>
      </c>
      <c r="D75" s="246">
        <v>1637.34</v>
      </c>
      <c r="E75" s="305">
        <f t="shared" si="9"/>
        <v>0.21929315044010544</v>
      </c>
      <c r="F75" s="108">
        <v>1342.86</v>
      </c>
      <c r="G75" s="305">
        <f t="shared" si="12"/>
        <v>7.390998368574242E-2</v>
      </c>
      <c r="H75" s="246">
        <v>1250.44</v>
      </c>
      <c r="I75" s="271">
        <f t="shared" si="15"/>
        <v>3.6410804717739609E-2</v>
      </c>
      <c r="J75" s="108">
        <v>1206.51</v>
      </c>
      <c r="K75" s="4"/>
      <c r="L75" s="4"/>
      <c r="M75" s="4"/>
    </row>
    <row r="76" spans="1:13" s="2" customFormat="1" ht="10.5">
      <c r="A76" s="102" t="s">
        <v>88</v>
      </c>
      <c r="B76" s="246">
        <v>0</v>
      </c>
      <c r="C76" s="305">
        <f t="shared" si="14"/>
        <v>-1</v>
      </c>
      <c r="D76" s="246">
        <v>0.01</v>
      </c>
      <c r="E76" s="305"/>
      <c r="F76" s="108">
        <v>0</v>
      </c>
      <c r="G76" s="305">
        <f t="shared" si="12"/>
        <v>-1</v>
      </c>
      <c r="H76" s="246">
        <v>0.05</v>
      </c>
      <c r="I76" s="271">
        <f t="shared" si="15"/>
        <v>-0.98898678414096919</v>
      </c>
      <c r="J76" s="108">
        <v>4.54</v>
      </c>
      <c r="K76" s="4"/>
      <c r="L76" s="4"/>
      <c r="M76" s="4"/>
    </row>
    <row r="77" spans="1:13" s="2" customFormat="1" ht="10.5">
      <c r="A77" s="102" t="s">
        <v>89</v>
      </c>
      <c r="B77" s="246">
        <v>744.65</v>
      </c>
      <c r="C77" s="305">
        <f t="shared" si="14"/>
        <v>0.7017070774012204</v>
      </c>
      <c r="D77" s="246">
        <v>437.59</v>
      </c>
      <c r="E77" s="305">
        <f t="shared" si="9"/>
        <v>0.20465244322092224</v>
      </c>
      <c r="F77" s="108">
        <v>363.25</v>
      </c>
      <c r="G77" s="305">
        <f t="shared" si="12"/>
        <v>0.33591997352065017</v>
      </c>
      <c r="H77" s="246">
        <v>271.91000000000003</v>
      </c>
      <c r="I77" s="271">
        <f t="shared" si="15"/>
        <v>-0.13163861654903708</v>
      </c>
      <c r="J77" s="108">
        <v>313.13</v>
      </c>
      <c r="K77" s="4"/>
      <c r="L77" s="4"/>
      <c r="M77" s="4"/>
    </row>
    <row r="78" spans="1:13" s="6" customFormat="1" ht="10">
      <c r="A78" s="102" t="s">
        <v>90</v>
      </c>
      <c r="B78" s="246">
        <v>617.74</v>
      </c>
      <c r="C78" s="305">
        <f t="shared" si="14"/>
        <v>-0.33738790921182471</v>
      </c>
      <c r="D78" s="246">
        <v>932.28</v>
      </c>
      <c r="E78" s="305">
        <f t="shared" si="9"/>
        <v>-0.21539121872396294</v>
      </c>
      <c r="F78" s="108">
        <v>1188.21</v>
      </c>
      <c r="G78" s="305">
        <f t="shared" si="12"/>
        <v>3.8597546012269941</v>
      </c>
      <c r="H78" s="246">
        <v>244.5</v>
      </c>
      <c r="I78" s="271">
        <f t="shared" si="15"/>
        <v>1.0541040073930943</v>
      </c>
      <c r="J78" s="108">
        <v>119.03</v>
      </c>
      <c r="K78" s="8"/>
      <c r="L78" s="8"/>
      <c r="M78" s="8"/>
    </row>
    <row r="79" spans="1:13" s="6" customFormat="1" ht="10">
      <c r="A79" s="102" t="s">
        <v>132</v>
      </c>
      <c r="B79" s="246">
        <v>102.26</v>
      </c>
      <c r="C79" s="305">
        <f t="shared" si="14"/>
        <v>0.22408427100790029</v>
      </c>
      <c r="D79" s="246">
        <v>83.54</v>
      </c>
      <c r="E79" s="305">
        <f t="shared" si="9"/>
        <v>-0.51194718700706887</v>
      </c>
      <c r="F79" s="108">
        <v>171.17</v>
      </c>
      <c r="G79" s="305">
        <f t="shared" si="12"/>
        <v>-0.13049883165701526</v>
      </c>
      <c r="H79" s="246">
        <v>196.86</v>
      </c>
      <c r="I79" s="271">
        <f t="shared" si="15"/>
        <v>-0.37798982590287211</v>
      </c>
      <c r="J79" s="108">
        <v>316.49</v>
      </c>
      <c r="K79" s="8"/>
      <c r="L79" s="8"/>
      <c r="M79" s="8"/>
    </row>
    <row r="80" spans="1:13" s="6" customFormat="1" ht="10">
      <c r="A80" s="102" t="s">
        <v>91</v>
      </c>
      <c r="B80" s="246">
        <v>214.55</v>
      </c>
      <c r="C80" s="305">
        <f t="shared" si="14"/>
        <v>-0.13731403297145151</v>
      </c>
      <c r="D80" s="246">
        <v>248.7</v>
      </c>
      <c r="E80" s="305">
        <f t="shared" si="9"/>
        <v>-0.4534306184343545</v>
      </c>
      <c r="F80" s="108">
        <v>455.02</v>
      </c>
      <c r="G80" s="305">
        <f t="shared" si="12"/>
        <v>-8.669035145822046E-2</v>
      </c>
      <c r="H80" s="246">
        <v>498.21</v>
      </c>
      <c r="I80" s="271">
        <f t="shared" si="15"/>
        <v>0.45360914979284583</v>
      </c>
      <c r="J80" s="108">
        <v>342.74</v>
      </c>
      <c r="K80" s="8"/>
      <c r="L80" s="8"/>
      <c r="M80" s="8"/>
    </row>
    <row r="81" spans="1:13" s="6" customFormat="1" ht="10">
      <c r="A81" s="102" t="s">
        <v>92</v>
      </c>
      <c r="B81" s="246">
        <v>261.47000000000003</v>
      </c>
      <c r="C81" s="305">
        <f t="shared" si="14"/>
        <v>0.46481792717086856</v>
      </c>
      <c r="D81" s="246">
        <v>178.5</v>
      </c>
      <c r="E81" s="305">
        <f t="shared" si="9"/>
        <v>0.40984124476739603</v>
      </c>
      <c r="F81" s="108">
        <v>126.61</v>
      </c>
      <c r="G81" s="305">
        <f t="shared" si="12"/>
        <v>-0.50731574441590788</v>
      </c>
      <c r="H81" s="246">
        <v>256.98</v>
      </c>
      <c r="I81" s="271">
        <f t="shared" si="15"/>
        <v>-0.33333333333333337</v>
      </c>
      <c r="J81" s="108">
        <v>385.47</v>
      </c>
      <c r="K81" s="8"/>
      <c r="L81" s="8"/>
      <c r="M81" s="8"/>
    </row>
    <row r="82" spans="1:13" s="6" customFormat="1" ht="10">
      <c r="A82" s="102" t="s">
        <v>93</v>
      </c>
      <c r="B82" s="246">
        <v>185.18</v>
      </c>
      <c r="C82" s="305">
        <f t="shared" si="14"/>
        <v>1.1226501604768457</v>
      </c>
      <c r="D82" s="246">
        <v>87.24</v>
      </c>
      <c r="E82" s="305">
        <f t="shared" si="9"/>
        <v>-0.4226722255310702</v>
      </c>
      <c r="F82" s="108">
        <v>151.11000000000001</v>
      </c>
      <c r="G82" s="305">
        <f t="shared" si="12"/>
        <v>0.45102746303053598</v>
      </c>
      <c r="H82" s="246">
        <v>104.14</v>
      </c>
      <c r="I82" s="271">
        <f t="shared" si="15"/>
        <v>0.96601850103832354</v>
      </c>
      <c r="J82" s="108">
        <v>52.97</v>
      </c>
      <c r="K82" s="8"/>
      <c r="L82" s="8"/>
      <c r="M82" s="8"/>
    </row>
    <row r="83" spans="1:13" s="6" customFormat="1" ht="10">
      <c r="A83" s="102" t="s">
        <v>94</v>
      </c>
      <c r="B83" s="246">
        <v>38.6</v>
      </c>
      <c r="C83" s="305">
        <f t="shared" si="14"/>
        <v>-0.2262978552816195</v>
      </c>
      <c r="D83" s="246">
        <v>49.89</v>
      </c>
      <c r="E83" s="305">
        <f t="shared" si="9"/>
        <v>-0.11259338313767342</v>
      </c>
      <c r="F83" s="108">
        <v>56.22</v>
      </c>
      <c r="G83" s="305">
        <f t="shared" si="12"/>
        <v>0.1115065243179123</v>
      </c>
      <c r="H83" s="246">
        <v>50.58</v>
      </c>
      <c r="I83" s="271">
        <f t="shared" si="15"/>
        <v>-0.10809381061541179</v>
      </c>
      <c r="J83" s="108">
        <v>56.71</v>
      </c>
      <c r="K83" s="8"/>
      <c r="L83" s="8"/>
      <c r="M83" s="8"/>
    </row>
    <row r="84" spans="1:13" s="6" customFormat="1" ht="10">
      <c r="A84" s="102" t="s">
        <v>95</v>
      </c>
      <c r="B84" s="246">
        <v>194.01</v>
      </c>
      <c r="C84" s="305">
        <f t="shared" si="14"/>
        <v>0.80172734026745895</v>
      </c>
      <c r="D84" s="246">
        <v>107.68</v>
      </c>
      <c r="E84" s="305">
        <f t="shared" si="9"/>
        <v>0.46145494028230183</v>
      </c>
      <c r="F84" s="108">
        <v>73.680000000000007</v>
      </c>
      <c r="G84" s="305">
        <f t="shared" si="12"/>
        <v>-9.2275471233214224E-2</v>
      </c>
      <c r="H84" s="246">
        <v>81.17</v>
      </c>
      <c r="I84" s="271">
        <f t="shared" si="15"/>
        <v>-0.11752554903239831</v>
      </c>
      <c r="J84" s="108">
        <v>91.98</v>
      </c>
      <c r="K84" s="8"/>
      <c r="L84" s="8"/>
      <c r="M84" s="8"/>
    </row>
    <row r="85" spans="1:13" s="6" customFormat="1" ht="10">
      <c r="A85" s="102" t="s">
        <v>96</v>
      </c>
      <c r="B85" s="246">
        <v>91.81</v>
      </c>
      <c r="C85" s="305">
        <f t="shared" si="14"/>
        <v>-0.129432960364119</v>
      </c>
      <c r="D85" s="246">
        <v>105.46</v>
      </c>
      <c r="E85" s="305">
        <f t="shared" si="9"/>
        <v>0.10940458657689867</v>
      </c>
      <c r="F85" s="108">
        <v>95.06</v>
      </c>
      <c r="G85" s="305">
        <f t="shared" si="12"/>
        <v>1.1817764516869405</v>
      </c>
      <c r="H85" s="246">
        <v>43.57</v>
      </c>
      <c r="I85" s="271">
        <f t="shared" si="15"/>
        <v>0.62756817332835269</v>
      </c>
      <c r="J85" s="108">
        <v>26.77</v>
      </c>
      <c r="K85" s="8"/>
      <c r="L85" s="8"/>
      <c r="M85" s="8"/>
    </row>
    <row r="86" spans="1:13" s="6" customFormat="1" ht="10">
      <c r="A86" s="102" t="s">
        <v>97</v>
      </c>
      <c r="B86" s="246">
        <v>141.31</v>
      </c>
      <c r="C86" s="305">
        <f t="shared" si="14"/>
        <v>-0.17434998539293023</v>
      </c>
      <c r="D86" s="246">
        <v>171.15</v>
      </c>
      <c r="E86" s="305">
        <f t="shared" si="9"/>
        <v>-7.4764839442101771E-2</v>
      </c>
      <c r="F86" s="108">
        <v>184.98</v>
      </c>
      <c r="G86" s="305">
        <f t="shared" si="12"/>
        <v>-0.17691554685414268</v>
      </c>
      <c r="H86" s="246">
        <v>224.74</v>
      </c>
      <c r="I86" s="271">
        <f t="shared" si="15"/>
        <v>-0.15434978928356402</v>
      </c>
      <c r="J86" s="108">
        <v>265.76</v>
      </c>
      <c r="K86" s="8"/>
      <c r="L86" s="8"/>
      <c r="M86" s="8"/>
    </row>
    <row r="87" spans="1:13" s="6" customFormat="1" ht="10">
      <c r="A87" s="102" t="s">
        <v>98</v>
      </c>
      <c r="B87" s="109">
        <v>2.38</v>
      </c>
      <c r="C87" s="305">
        <f t="shared" si="14"/>
        <v>-0.53965183752417789</v>
      </c>
      <c r="D87" s="109">
        <v>5.17</v>
      </c>
      <c r="E87" s="305">
        <f t="shared" si="9"/>
        <v>-0.58340048348106366</v>
      </c>
      <c r="F87" s="109">
        <v>12.41</v>
      </c>
      <c r="G87" s="305">
        <f t="shared" si="12"/>
        <v>-0.13699582753824757</v>
      </c>
      <c r="H87" s="247">
        <v>14.38</v>
      </c>
      <c r="I87" s="271">
        <f t="shared" si="15"/>
        <v>-5.1451187335092352E-2</v>
      </c>
      <c r="J87" s="109">
        <v>15.16</v>
      </c>
      <c r="K87" s="8"/>
      <c r="L87" s="8"/>
      <c r="M87" s="8"/>
    </row>
    <row r="88" spans="1:13" s="6" customFormat="1" ht="10">
      <c r="A88" s="102" t="s">
        <v>99</v>
      </c>
      <c r="B88" s="246">
        <v>0</v>
      </c>
      <c r="C88" s="305"/>
      <c r="D88" s="246">
        <v>0</v>
      </c>
      <c r="E88" s="305"/>
      <c r="F88" s="108">
        <v>0</v>
      </c>
      <c r="G88" s="305"/>
      <c r="H88" s="246">
        <v>0</v>
      </c>
      <c r="I88" s="271"/>
      <c r="J88" s="108">
        <v>0</v>
      </c>
      <c r="K88" s="8"/>
      <c r="L88" s="8"/>
      <c r="M88" s="8"/>
    </row>
    <row r="89" spans="1:13" s="2" customFormat="1" ht="10.5">
      <c r="A89" s="102" t="s">
        <v>100</v>
      </c>
      <c r="B89" s="246">
        <v>7.71</v>
      </c>
      <c r="C89" s="305">
        <f t="shared" si="14"/>
        <v>-9.6131301289566151E-2</v>
      </c>
      <c r="D89" s="246">
        <v>8.5299999999999994</v>
      </c>
      <c r="E89" s="305">
        <f t="shared" si="9"/>
        <v>-0.28259041211101776</v>
      </c>
      <c r="F89" s="108">
        <v>11.89</v>
      </c>
      <c r="G89" s="305">
        <f t="shared" si="12"/>
        <v>7.2569444444444446</v>
      </c>
      <c r="H89" s="246">
        <v>1.44</v>
      </c>
      <c r="I89" s="271">
        <f t="shared" si="15"/>
        <v>-0.34841628959276016</v>
      </c>
      <c r="J89" s="108">
        <v>2.21</v>
      </c>
      <c r="K89" s="4"/>
      <c r="L89" s="4"/>
      <c r="M89" s="4"/>
    </row>
    <row r="90" spans="1:13" s="6" customFormat="1" ht="10">
      <c r="A90" s="102" t="s">
        <v>101</v>
      </c>
      <c r="B90" s="246">
        <v>0.01</v>
      </c>
      <c r="C90" s="305"/>
      <c r="D90" s="246">
        <v>0</v>
      </c>
      <c r="E90" s="305"/>
      <c r="F90" s="108">
        <v>0</v>
      </c>
      <c r="G90" s="305"/>
      <c r="H90" s="246">
        <v>0</v>
      </c>
      <c r="I90" s="271"/>
      <c r="J90" s="108">
        <v>0</v>
      </c>
      <c r="K90" s="8"/>
      <c r="L90" s="8"/>
      <c r="M90" s="8"/>
    </row>
    <row r="91" spans="1:13" s="6" customFormat="1" ht="10">
      <c r="A91" s="102" t="s">
        <v>102</v>
      </c>
      <c r="B91" s="246">
        <v>139.26</v>
      </c>
      <c r="C91" s="305">
        <f t="shared" si="14"/>
        <v>0.30028011204481797</v>
      </c>
      <c r="D91" s="246">
        <v>107.1</v>
      </c>
      <c r="E91" s="305">
        <f t="shared" si="9"/>
        <v>-0.12003943800838068</v>
      </c>
      <c r="F91" s="108">
        <v>121.71000000000001</v>
      </c>
      <c r="G91" s="305">
        <f t="shared" si="12"/>
        <v>-0.22880496768470404</v>
      </c>
      <c r="H91" s="246">
        <v>157.82</v>
      </c>
      <c r="I91" s="271">
        <f t="shared" si="15"/>
        <v>-0.14618048041549458</v>
      </c>
      <c r="J91" s="108">
        <v>184.84</v>
      </c>
      <c r="K91" s="8"/>
      <c r="L91" s="8"/>
      <c r="M91" s="8"/>
    </row>
    <row r="92" spans="1:13" s="6" customFormat="1" ht="10">
      <c r="A92" s="102" t="s">
        <v>103</v>
      </c>
      <c r="B92" s="246">
        <v>4.62</v>
      </c>
      <c r="C92" s="305">
        <f t="shared" si="14"/>
        <v>13.4375</v>
      </c>
      <c r="D92" s="246">
        <v>0.32</v>
      </c>
      <c r="E92" s="305"/>
      <c r="F92" s="108">
        <v>0</v>
      </c>
      <c r="G92" s="305">
        <f t="shared" si="12"/>
        <v>-1</v>
      </c>
      <c r="H92" s="246">
        <v>1.2</v>
      </c>
      <c r="I92" s="271">
        <f t="shared" si="15"/>
        <v>0.81818181818181812</v>
      </c>
      <c r="J92" s="108">
        <v>0.66</v>
      </c>
      <c r="K92" s="8"/>
      <c r="L92" s="8"/>
      <c r="M92" s="8"/>
    </row>
    <row r="93" spans="1:13" s="6" customFormat="1" ht="10">
      <c r="A93" s="102" t="s">
        <v>104</v>
      </c>
      <c r="B93" s="246">
        <v>0.15</v>
      </c>
      <c r="C93" s="305">
        <f t="shared" si="14"/>
        <v>-0.85148514851485146</v>
      </c>
      <c r="D93" s="246">
        <v>1.01</v>
      </c>
      <c r="E93" s="305"/>
      <c r="F93" s="108">
        <v>0</v>
      </c>
      <c r="G93" s="305">
        <f t="shared" si="12"/>
        <v>-1</v>
      </c>
      <c r="H93" s="246">
        <v>0.01</v>
      </c>
      <c r="I93" s="271">
        <f t="shared" si="15"/>
        <v>-0.97560975609756095</v>
      </c>
      <c r="J93" s="108">
        <v>0.41</v>
      </c>
      <c r="K93" s="8"/>
      <c r="L93" s="8"/>
      <c r="M93" s="8"/>
    </row>
    <row r="94" spans="1:13" s="6" customFormat="1" ht="10">
      <c r="A94" s="102" t="s">
        <v>105</v>
      </c>
      <c r="B94" s="248">
        <v>0</v>
      </c>
      <c r="C94" s="305"/>
      <c r="D94" s="248">
        <v>0</v>
      </c>
      <c r="E94" s="305"/>
      <c r="F94" s="110">
        <v>0</v>
      </c>
      <c r="G94" s="305"/>
      <c r="H94" s="248">
        <v>0</v>
      </c>
      <c r="I94" s="271">
        <f t="shared" si="15"/>
        <v>-1</v>
      </c>
      <c r="J94" s="110">
        <v>3.02</v>
      </c>
      <c r="K94" s="8"/>
      <c r="L94" s="8"/>
      <c r="M94" s="8"/>
    </row>
    <row r="95" spans="1:13" s="6" customFormat="1" ht="10">
      <c r="A95" s="102" t="s">
        <v>106</v>
      </c>
      <c r="B95" s="248">
        <v>4.57</v>
      </c>
      <c r="C95" s="305">
        <f t="shared" si="14"/>
        <v>-0.68826739427012273</v>
      </c>
      <c r="D95" s="248">
        <v>14.66</v>
      </c>
      <c r="E95" s="305">
        <f t="shared" si="9"/>
        <v>0.43584720861900084</v>
      </c>
      <c r="F95" s="110">
        <v>10.210000000000001</v>
      </c>
      <c r="G95" s="305">
        <f t="shared" si="12"/>
        <v>2.6594982078853051</v>
      </c>
      <c r="H95" s="248">
        <v>2.79</v>
      </c>
      <c r="I95" s="271">
        <f t="shared" si="15"/>
        <v>-0.58666666666666667</v>
      </c>
      <c r="J95" s="110">
        <v>6.75</v>
      </c>
      <c r="K95" s="8"/>
      <c r="L95" s="8"/>
      <c r="M95" s="8"/>
    </row>
    <row r="96" spans="1:13" s="6" customFormat="1" ht="10">
      <c r="A96" s="105" t="s">
        <v>86</v>
      </c>
      <c r="B96" s="248">
        <f>B74</f>
        <v>159.26</v>
      </c>
      <c r="C96" s="305">
        <f t="shared" ref="C96:C101" si="16">IF((+B96/D96)&lt;0,"n.m.",IF(B96&lt;0,(+B96/D96-1)*-1,(+B96/D96-1)))</f>
        <v>0.18119112957057015</v>
      </c>
      <c r="D96" s="248">
        <f>D74</f>
        <v>134.83000000000001</v>
      </c>
      <c r="E96" s="305">
        <f t="shared" si="9"/>
        <v>-3.9398689085209493E-2</v>
      </c>
      <c r="F96" s="110">
        <f>F74</f>
        <v>140.36000000000001</v>
      </c>
      <c r="G96" s="305">
        <f t="shared" si="12"/>
        <v>0.71547298948912275</v>
      </c>
      <c r="H96" s="248">
        <f>H74</f>
        <v>81.819999999999993</v>
      </c>
      <c r="I96" s="271">
        <f t="shared" si="15"/>
        <v>-5.832320777642841E-3</v>
      </c>
      <c r="J96" s="110">
        <f>J74</f>
        <v>82.3</v>
      </c>
      <c r="K96" s="8"/>
      <c r="L96" s="8"/>
      <c r="M96" s="8"/>
    </row>
    <row r="97" spans="1:13" s="6" customFormat="1" ht="10">
      <c r="A97" s="105" t="s">
        <v>87</v>
      </c>
      <c r="B97" s="248">
        <f>B75</f>
        <v>1579.83</v>
      </c>
      <c r="C97" s="305">
        <f t="shared" si="16"/>
        <v>-3.5124042654549492E-2</v>
      </c>
      <c r="D97" s="248">
        <f>D75</f>
        <v>1637.34</v>
      </c>
      <c r="E97" s="305">
        <f t="shared" si="9"/>
        <v>0.21929315044010544</v>
      </c>
      <c r="F97" s="110">
        <f>F75</f>
        <v>1342.86</v>
      </c>
      <c r="G97" s="305">
        <f t="shared" si="12"/>
        <v>7.390998368574242E-2</v>
      </c>
      <c r="H97" s="248">
        <f>H75</f>
        <v>1250.44</v>
      </c>
      <c r="I97" s="271">
        <f t="shared" si="15"/>
        <v>3.6410804717739609E-2</v>
      </c>
      <c r="J97" s="110">
        <f>J75</f>
        <v>1206.51</v>
      </c>
      <c r="K97" s="8"/>
      <c r="L97" s="8"/>
      <c r="M97" s="8"/>
    </row>
    <row r="98" spans="1:13" s="2" customFormat="1" ht="10.5">
      <c r="A98" s="105" t="s">
        <v>107</v>
      </c>
      <c r="B98" s="248">
        <f>B76+B77+B78+B79+B80+B81+B82+B83+B84+B85</f>
        <v>2450.27</v>
      </c>
      <c r="C98" s="305">
        <f t="shared" si="16"/>
        <v>9.8337434835424453E-2</v>
      </c>
      <c r="D98" s="248">
        <f>D76+D77+D78+D79+D80+D81+D82+D83+D84+D85</f>
        <v>2230.89</v>
      </c>
      <c r="E98" s="305">
        <f t="shared" si="9"/>
        <v>-0.16768084526905269</v>
      </c>
      <c r="F98" s="110">
        <f>F76+F77+F78+F79+F80+F81+F82+F83+F84+F85</f>
        <v>2680.33</v>
      </c>
      <c r="G98" s="305">
        <f t="shared" si="12"/>
        <v>0.53339588208035593</v>
      </c>
      <c r="H98" s="248">
        <f>H76+H77+H78+H79+H80+H81+H82+H83+H84+H85</f>
        <v>1747.97</v>
      </c>
      <c r="I98" s="271">
        <f t="shared" si="15"/>
        <v>2.2306311153740266E-2</v>
      </c>
      <c r="J98" s="110">
        <f>J76+J77+J78+J79+J80+J81+J82+J83+J84+J85</f>
        <v>1709.8300000000002</v>
      </c>
      <c r="K98" s="4"/>
      <c r="L98" s="4"/>
      <c r="M98" s="4"/>
    </row>
    <row r="99" spans="1:13" s="2" customFormat="1" ht="10.5">
      <c r="A99" s="105" t="s">
        <v>108</v>
      </c>
      <c r="B99" s="248">
        <f>B86+B87+B88+B89+B90+B91</f>
        <v>290.66999999999996</v>
      </c>
      <c r="C99" s="305">
        <f t="shared" si="16"/>
        <v>-4.3843123822573382E-3</v>
      </c>
      <c r="D99" s="248">
        <f>D86+D87+D88+D89+D90+D91</f>
        <v>291.95</v>
      </c>
      <c r="E99" s="305">
        <f t="shared" si="9"/>
        <v>-0.11794918275476607</v>
      </c>
      <c r="F99" s="110">
        <f>F86+F87+F88+F89+F90+F91</f>
        <v>330.99</v>
      </c>
      <c r="G99" s="305">
        <f t="shared" si="12"/>
        <v>-0.16916009839851398</v>
      </c>
      <c r="H99" s="248">
        <f>H86+H87+H88+H89+H90+H91</f>
        <v>398.38</v>
      </c>
      <c r="I99" s="271">
        <f t="shared" si="15"/>
        <v>-0.14870611363976327</v>
      </c>
      <c r="J99" s="110">
        <f>J86+J87+J88+J89+J90+J91</f>
        <v>467.97</v>
      </c>
      <c r="K99" s="4"/>
      <c r="L99" s="4"/>
      <c r="M99" s="4"/>
    </row>
    <row r="100" spans="1:13" s="6" customFormat="1" ht="10">
      <c r="A100" s="291" t="s">
        <v>109</v>
      </c>
      <c r="B100" s="292">
        <f>B92+B93+B94+B95</f>
        <v>9.34</v>
      </c>
      <c r="C100" s="305">
        <f t="shared" si="16"/>
        <v>-0.41588492808005006</v>
      </c>
      <c r="D100" s="292">
        <f>D92+D93+D94+D95</f>
        <v>15.99</v>
      </c>
      <c r="E100" s="305">
        <f t="shared" si="9"/>
        <v>0.56611165523996076</v>
      </c>
      <c r="F100" s="292">
        <f>F92+F93+F94+F95</f>
        <v>10.210000000000001</v>
      </c>
      <c r="G100" s="305">
        <f t="shared" si="12"/>
        <v>1.5525000000000002</v>
      </c>
      <c r="H100" s="292">
        <f>H92+H93+H94+H95</f>
        <v>4</v>
      </c>
      <c r="I100" s="271">
        <f t="shared" si="15"/>
        <v>-0.63099630996309963</v>
      </c>
      <c r="J100" s="292">
        <f>J92+J93+J94+J95</f>
        <v>10.84</v>
      </c>
      <c r="K100" s="8"/>
      <c r="L100" s="8"/>
      <c r="M100" s="8"/>
    </row>
    <row r="101" spans="1:13" s="95" customFormat="1" ht="10.4" customHeight="1">
      <c r="A101" s="93" t="s">
        <v>114</v>
      </c>
      <c r="B101" s="270">
        <f>SUM(B96:B100)</f>
        <v>4489.37</v>
      </c>
      <c r="C101" s="304">
        <f t="shared" si="16"/>
        <v>4.1375550916260995E-2</v>
      </c>
      <c r="D101" s="270">
        <f>SUM(D96:D100)</f>
        <v>4310.9999999999991</v>
      </c>
      <c r="E101" s="304">
        <f t="shared" si="9"/>
        <v>-4.3010155946500928E-2</v>
      </c>
      <c r="F101" s="270">
        <f>SUM(F96:F100)</f>
        <v>4504.7499999999991</v>
      </c>
      <c r="G101" s="304">
        <f t="shared" si="12"/>
        <v>0.29349826710426918</v>
      </c>
      <c r="H101" s="270">
        <f>SUM(H96:H100)</f>
        <v>3482.61</v>
      </c>
      <c r="I101" s="143">
        <f t="shared" ref="I101" si="17">IF((+H101/J101)&lt;0,"n.m.",IF(H101&lt;0,(+H101/J101-1)*-1,(+H101/J101-1)))</f>
        <v>1.4838459215802402E-3</v>
      </c>
      <c r="J101" s="270">
        <f>SUM(J96:J100)</f>
        <v>3477.4500000000007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&amp;A</oddHeader>
  </headerFooter>
  <rowBreaks count="2" manualBreakCount="2">
    <brk id="42" max="10" man="1"/>
    <brk id="7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1"/>
  <sheetViews>
    <sheetView view="pageBreakPreview" zoomScale="115" zoomScaleNormal="100" zoomScaleSheetLayoutView="115" workbookViewId="0">
      <pane xSplit="1" ySplit="1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baseColWidth="10" defaultColWidth="20.54296875" defaultRowHeight="12" customHeight="1" outlineLevelRow="1"/>
  <cols>
    <col min="1" max="1" width="20.54296875" style="57" customWidth="1"/>
    <col min="2" max="10" width="10.81640625" style="27" customWidth="1"/>
    <col min="11" max="16384" width="20.54296875" style="57"/>
  </cols>
  <sheetData>
    <row r="1" spans="1:12" s="56" customFormat="1" ht="24.75" customHeight="1">
      <c r="A1" s="24" t="s">
        <v>121</v>
      </c>
      <c r="B1" s="152">
        <v>2019</v>
      </c>
      <c r="C1" s="152" t="s">
        <v>156</v>
      </c>
      <c r="D1" s="152">
        <v>2018</v>
      </c>
      <c r="E1" s="152" t="s">
        <v>151</v>
      </c>
      <c r="F1" s="152">
        <v>2017</v>
      </c>
      <c r="G1" s="152" t="s">
        <v>135</v>
      </c>
      <c r="H1" s="152">
        <v>2016</v>
      </c>
      <c r="I1" s="152" t="s">
        <v>130</v>
      </c>
      <c r="J1" s="1">
        <v>2015</v>
      </c>
    </row>
    <row r="2" spans="1:12" ht="3" hidden="1" customHeight="1" outlineLevel="1"/>
    <row r="3" spans="1:12" s="60" customFormat="1" ht="10.4" customHeight="1" collapsed="1">
      <c r="A3" s="58" t="s">
        <v>1</v>
      </c>
      <c r="B3" s="251">
        <f>B71</f>
        <v>3450.5699999999997</v>
      </c>
      <c r="C3" s="308">
        <f>IF((+B3/D3)&lt;0,"n.m.",IF(B3&lt;0,(+B3/D3-1)*-1,(+B3/D3-1)))</f>
        <v>-7.7461700933080357E-2</v>
      </c>
      <c r="D3" s="251">
        <f>D71</f>
        <v>3740.3</v>
      </c>
      <c r="E3" s="308">
        <f>IF((+D3/F3)&lt;0,"n.m.",IF(D3&lt;0,(+D3/F3-1)*-1,(+D3/F3-1)))</f>
        <v>9.8947269452597908E-2</v>
      </c>
      <c r="F3" s="268">
        <f>F71</f>
        <v>3403.5299999999997</v>
      </c>
      <c r="G3" s="308">
        <f>IF((+F3/H3)&lt;0,"n.m.",IF(F3&lt;0,(+F3/H3-1)*-1,(+F3/H3-1)))</f>
        <v>7.8810988655705794E-2</v>
      </c>
      <c r="H3" s="268">
        <f>H71</f>
        <v>3154.8900000000003</v>
      </c>
      <c r="I3" s="279">
        <f t="shared" ref="I3:I7" si="0">IF((+H3/J3)&lt;0,"n.m.",IF(H3&lt;0,(+H3/J3-1)*-1,(+H3/J3-1)))</f>
        <v>-2.9297469931786724E-2</v>
      </c>
      <c r="J3" s="59">
        <f>J71</f>
        <v>3250.1099999999997</v>
      </c>
    </row>
    <row r="4" spans="1:12" s="60" customFormat="1" ht="10.4" customHeight="1">
      <c r="A4" s="58" t="s">
        <v>2</v>
      </c>
      <c r="B4" s="251">
        <f>B101</f>
        <v>4110.7700000000004</v>
      </c>
      <c r="C4" s="308">
        <f t="shared" ref="C4:C7" si="1">IF((+B4/D4)&lt;0,"n.m.",IF(B4&lt;0,(+B4/D4-1)*-1,(+B4/D4-1)))</f>
        <v>8.6812376236315103E-2</v>
      </c>
      <c r="D4" s="251">
        <f>D101</f>
        <v>3782.41</v>
      </c>
      <c r="E4" s="308">
        <f t="shared" ref="E4:E7" si="2">IF((+D4/F4)&lt;0,"n.m.",IF(D4&lt;0,(+D4/F4-1)*-1,(+D4/F4-1)))</f>
        <v>-4.0905437238350495E-2</v>
      </c>
      <c r="F4" s="268">
        <f>F101</f>
        <v>3943.73</v>
      </c>
      <c r="G4" s="308">
        <f t="shared" ref="G4:G67" si="3">IF((+F4/H4)&lt;0,"n.m.",IF(F4&lt;0,(+F4/H4-1)*-1,(+F4/H4-1)))</f>
        <v>-8.1779383790806515E-2</v>
      </c>
      <c r="H4" s="268">
        <f>H101</f>
        <v>4294.97</v>
      </c>
      <c r="I4" s="279">
        <f t="shared" si="0"/>
        <v>9.8137180448742978E-3</v>
      </c>
      <c r="J4" s="59">
        <f>J101</f>
        <v>4253.2299999999996</v>
      </c>
    </row>
    <row r="5" spans="1:12" s="60" customFormat="1" ht="10.4" customHeight="1">
      <c r="A5" s="58" t="s">
        <v>3</v>
      </c>
      <c r="B5" s="251">
        <v>3216.67</v>
      </c>
      <c r="C5" s="308">
        <f t="shared" si="1"/>
        <v>-6.4328557050689072E-2</v>
      </c>
      <c r="D5" s="251">
        <v>3437.82</v>
      </c>
      <c r="E5" s="308">
        <f t="shared" si="2"/>
        <v>0.13484125255006041</v>
      </c>
      <c r="F5" s="268">
        <v>3029.34</v>
      </c>
      <c r="G5" s="308">
        <f t="shared" si="3"/>
        <v>0.12992070182244086</v>
      </c>
      <c r="H5" s="268">
        <v>2681.02</v>
      </c>
      <c r="I5" s="279">
        <f t="shared" si="0"/>
        <v>-3.9364272428670355E-2</v>
      </c>
      <c r="J5" s="59">
        <v>2790.8809999999999</v>
      </c>
    </row>
    <row r="6" spans="1:12" s="60" customFormat="1" ht="10.4" customHeight="1">
      <c r="A6" s="58" t="s">
        <v>116</v>
      </c>
      <c r="B6" s="251">
        <v>183.97</v>
      </c>
      <c r="C6" s="308">
        <f t="shared" si="1"/>
        <v>-7.4089918516691777E-2</v>
      </c>
      <c r="D6" s="251">
        <v>198.691</v>
      </c>
      <c r="E6" s="308">
        <f t="shared" si="2"/>
        <v>2.1841506410256413</v>
      </c>
      <c r="F6" s="268">
        <v>62.4</v>
      </c>
      <c r="G6" s="308">
        <f t="shared" si="3"/>
        <v>0.27685696746470234</v>
      </c>
      <c r="H6" s="268">
        <v>48.87</v>
      </c>
      <c r="I6" s="279">
        <f>IF((+H6/J6)&lt;0,"n.m.",IF(H6&lt;0,(+H6/J6-1)*-1,(+H6/J6-1)))</f>
        <v>4.4498589381892772E-2</v>
      </c>
      <c r="J6" s="59">
        <v>46.787999999999997</v>
      </c>
    </row>
    <row r="7" spans="1:12" s="60" customFormat="1" ht="10.4" customHeight="1">
      <c r="A7" s="58" t="s">
        <v>126</v>
      </c>
      <c r="B7" s="251">
        <v>183.97</v>
      </c>
      <c r="C7" s="308">
        <f t="shared" si="1"/>
        <v>-7.4089918516691777E-2</v>
      </c>
      <c r="D7" s="251">
        <v>198.691</v>
      </c>
      <c r="E7" s="308">
        <f t="shared" si="2"/>
        <v>2.1841506410256413</v>
      </c>
      <c r="F7" s="268">
        <v>62.4</v>
      </c>
      <c r="G7" s="308">
        <f t="shared" si="3"/>
        <v>0.27685696746470234</v>
      </c>
      <c r="H7" s="268">
        <v>48.87</v>
      </c>
      <c r="I7" s="279">
        <f t="shared" si="0"/>
        <v>4.4498589381892772E-2</v>
      </c>
      <c r="J7" s="59">
        <v>46.787999999999997</v>
      </c>
    </row>
    <row r="8" spans="1:12" ht="10.4" customHeight="1">
      <c r="A8" s="61" t="s">
        <v>117</v>
      </c>
      <c r="B8" s="244">
        <f>B6/B5</f>
        <v>5.7192686846956636E-2</v>
      </c>
      <c r="C8" s="309"/>
      <c r="D8" s="244">
        <f>D6/D5</f>
        <v>5.7795637933341477E-2</v>
      </c>
      <c r="E8" s="309"/>
      <c r="F8" s="244">
        <f>F6/F5</f>
        <v>2.0598546217988074E-2</v>
      </c>
      <c r="G8" s="309"/>
      <c r="H8" s="244">
        <f>H6/H5</f>
        <v>1.822813705231591E-2</v>
      </c>
      <c r="I8" s="244"/>
      <c r="J8" s="62">
        <f>J6/J5</f>
        <v>1.6764598705570032E-2</v>
      </c>
    </row>
    <row r="9" spans="1:12" ht="10.4" customHeight="1">
      <c r="A9" s="61" t="s">
        <v>118</v>
      </c>
      <c r="B9" s="245">
        <f>B3/Group!B2</f>
        <v>0.20764088513819676</v>
      </c>
      <c r="C9" s="309"/>
      <c r="D9" s="63">
        <f>D3/Group!D2</f>
        <v>0.229144611735184</v>
      </c>
      <c r="E9" s="309"/>
      <c r="F9" s="245">
        <f>F3/Group!F2</f>
        <v>0.23278541867150357</v>
      </c>
      <c r="G9" s="309"/>
      <c r="H9" s="245">
        <f>H3/[1]Group!E2</f>
        <v>0.23385093651114852</v>
      </c>
      <c r="I9" s="245"/>
      <c r="J9" s="63">
        <f>J3/Group!J2</f>
        <v>0.22744328806082115</v>
      </c>
    </row>
    <row r="10" spans="1:12" ht="10.4" customHeight="1">
      <c r="A10" s="61" t="s">
        <v>119</v>
      </c>
      <c r="B10" s="245">
        <f>B4/Group!B3</f>
        <v>0.23609538074879335</v>
      </c>
      <c r="C10" s="309"/>
      <c r="D10" s="63">
        <f>D4/Group!D3</f>
        <v>0.22381508321740431</v>
      </c>
      <c r="E10" s="309"/>
      <c r="F10" s="245">
        <f>F4/Group!F3</f>
        <v>0.2376905074593762</v>
      </c>
      <c r="G10" s="309"/>
      <c r="H10" s="245">
        <f>H4/[1]Group!E3</f>
        <v>0.28989139289906246</v>
      </c>
      <c r="I10" s="245"/>
      <c r="J10" s="63">
        <f>J4/Group!J3</f>
        <v>0.32381926182641541</v>
      </c>
    </row>
    <row r="11" spans="1:12" ht="10.4" customHeight="1">
      <c r="A11" s="61"/>
      <c r="B11" s="390"/>
      <c r="C11" s="309"/>
      <c r="D11" s="390"/>
      <c r="E11" s="309"/>
      <c r="F11" s="64"/>
      <c r="G11" s="309"/>
      <c r="H11" s="64"/>
      <c r="I11" s="64"/>
      <c r="J11" s="64"/>
    </row>
    <row r="12" spans="1:12" s="60" customFormat="1" ht="10.4" customHeight="1">
      <c r="A12" s="58" t="s">
        <v>85</v>
      </c>
      <c r="B12" s="65"/>
      <c r="C12" s="309"/>
      <c r="D12" s="65"/>
      <c r="E12" s="309"/>
      <c r="F12" s="65"/>
      <c r="G12" s="309"/>
      <c r="H12" s="65"/>
      <c r="I12" s="65"/>
      <c r="J12" s="65"/>
    </row>
    <row r="13" spans="1:12" s="2" customFormat="1" ht="10.5">
      <c r="A13" s="66" t="s">
        <v>86</v>
      </c>
      <c r="B13" s="249">
        <v>6900</v>
      </c>
      <c r="C13" s="309">
        <f>IF((+B13/D13)&lt;0,"n.m.",IF(B13&lt;0,(+B13/D13-1)*-1,(+B13/D13-1)))</f>
        <v>-0.166566010387728</v>
      </c>
      <c r="D13" s="249">
        <v>8279</v>
      </c>
      <c r="E13" s="309">
        <f>IF((+D13/F13)&lt;0,"n.m.",IF(D13&lt;0,(+D13/F13-1)*-1,(+D13/F13-1)))</f>
        <v>-8.6203090507726232E-2</v>
      </c>
      <c r="F13" s="249">
        <v>9060</v>
      </c>
      <c r="G13" s="309">
        <f t="shared" si="3"/>
        <v>-1.8524536886577847E-2</v>
      </c>
      <c r="H13" s="249">
        <v>9231</v>
      </c>
      <c r="I13" s="269">
        <f>IF((+H13/J13)&lt;0,"n.m.",IF(H13&lt;0,(+H13/J13-1)*-1,(+H13/J13-1)))</f>
        <v>-1.7351500958058375E-2</v>
      </c>
      <c r="J13" s="67">
        <v>9394</v>
      </c>
      <c r="K13" s="4"/>
      <c r="L13" s="4"/>
    </row>
    <row r="14" spans="1:12" s="2" customFormat="1" ht="10.5">
      <c r="A14" s="66" t="s">
        <v>87</v>
      </c>
      <c r="B14" s="249">
        <v>2472</v>
      </c>
      <c r="C14" s="309">
        <f t="shared" ref="C14:C40" si="4">IF((+B14/D14)&lt;0,"n.m.",IF(B14&lt;0,(+B14/D14-1)*-1,(+B14/D14-1)))</f>
        <v>-4.1117145073700567E-2</v>
      </c>
      <c r="D14" s="249">
        <v>2578</v>
      </c>
      <c r="E14" s="309">
        <f t="shared" ref="E14:E40" si="5">IF((+D14/F14)&lt;0,"n.m.",IF(D14&lt;0,(+D14/F14-1)*-1,(+D14/F14-1)))</f>
        <v>6.0032894736842035E-2</v>
      </c>
      <c r="F14" s="249">
        <v>2432</v>
      </c>
      <c r="G14" s="309">
        <f t="shared" si="3"/>
        <v>5.6013894919670015E-2</v>
      </c>
      <c r="H14" s="249">
        <v>2303</v>
      </c>
      <c r="I14" s="269">
        <f t="shared" ref="I14:I40" si="6">IF((+H14/J14)&lt;0,"n.m.",IF(H14&lt;0,(+H14/J14-1)*-1,(+H14/J14-1)))</f>
        <v>1.9477644975652852E-2</v>
      </c>
      <c r="J14" s="67">
        <v>2259</v>
      </c>
      <c r="K14" s="4"/>
      <c r="L14" s="4"/>
    </row>
    <row r="15" spans="1:12" s="2" customFormat="1" ht="10.5">
      <c r="A15" s="66" t="s">
        <v>88</v>
      </c>
      <c r="B15" s="249">
        <v>821</v>
      </c>
      <c r="C15" s="309">
        <f t="shared" si="4"/>
        <v>0.63545816733067739</v>
      </c>
      <c r="D15" s="249">
        <v>502</v>
      </c>
      <c r="E15" s="309">
        <f t="shared" si="5"/>
        <v>7.4946466809421741E-2</v>
      </c>
      <c r="F15" s="249">
        <v>467</v>
      </c>
      <c r="G15" s="309">
        <f t="shared" si="3"/>
        <v>3.0905077262693093E-2</v>
      </c>
      <c r="H15" s="249">
        <v>453</v>
      </c>
      <c r="I15" s="269">
        <f t="shared" si="6"/>
        <v>-1.3071895424836555E-2</v>
      </c>
      <c r="J15" s="67">
        <v>459</v>
      </c>
      <c r="K15" s="4"/>
      <c r="L15" s="4"/>
    </row>
    <row r="16" spans="1:12" s="2" customFormat="1" ht="10.5">
      <c r="A16" s="66" t="s">
        <v>89</v>
      </c>
      <c r="B16" s="249">
        <v>701</v>
      </c>
      <c r="C16" s="309">
        <f t="shared" si="4"/>
        <v>-3.5763411279229662E-2</v>
      </c>
      <c r="D16" s="249">
        <v>727</v>
      </c>
      <c r="E16" s="309">
        <f t="shared" si="5"/>
        <v>-4.109589041095929E-3</v>
      </c>
      <c r="F16" s="249">
        <v>730</v>
      </c>
      <c r="G16" s="309">
        <f t="shared" si="3"/>
        <v>-8.152173913043459E-3</v>
      </c>
      <c r="H16" s="249">
        <v>736</v>
      </c>
      <c r="I16" s="269">
        <f t="shared" si="6"/>
        <v>5.464480874316946E-3</v>
      </c>
      <c r="J16" s="67">
        <v>732</v>
      </c>
      <c r="K16" s="4"/>
      <c r="L16" s="4"/>
    </row>
    <row r="17" spans="1:12" s="6" customFormat="1" ht="10">
      <c r="A17" s="66" t="s">
        <v>90</v>
      </c>
      <c r="B17" s="249">
        <v>532</v>
      </c>
      <c r="C17" s="309">
        <f t="shared" si="4"/>
        <v>-0.37850467289719625</v>
      </c>
      <c r="D17" s="249">
        <v>856</v>
      </c>
      <c r="E17" s="309">
        <f t="shared" si="5"/>
        <v>7.1339173967459368E-2</v>
      </c>
      <c r="F17" s="249">
        <v>799</v>
      </c>
      <c r="G17" s="309">
        <f t="shared" si="3"/>
        <v>8.7074829931972797E-2</v>
      </c>
      <c r="H17" s="249">
        <v>735</v>
      </c>
      <c r="I17" s="269">
        <f t="shared" si="6"/>
        <v>-1.8691588785046731E-2</v>
      </c>
      <c r="J17" s="67">
        <v>749</v>
      </c>
      <c r="K17" s="8"/>
      <c r="L17" s="8"/>
    </row>
    <row r="18" spans="1:12" s="6" customFormat="1" ht="10">
      <c r="A18" s="66" t="s">
        <v>132</v>
      </c>
      <c r="B18" s="249">
        <v>30</v>
      </c>
      <c r="C18" s="309">
        <f t="shared" si="4"/>
        <v>-0.21052631578947367</v>
      </c>
      <c r="D18" s="249">
        <v>38</v>
      </c>
      <c r="E18" s="309">
        <f t="shared" si="5"/>
        <v>-0.70078740157480313</v>
      </c>
      <c r="F18" s="249">
        <v>127</v>
      </c>
      <c r="G18" s="309">
        <f t="shared" si="3"/>
        <v>-0.52611940298507465</v>
      </c>
      <c r="H18" s="249">
        <v>268</v>
      </c>
      <c r="I18" s="269">
        <f t="shared" si="6"/>
        <v>0.27014218009478674</v>
      </c>
      <c r="J18" s="67">
        <v>211</v>
      </c>
      <c r="K18" s="8"/>
      <c r="L18" s="8"/>
    </row>
    <row r="19" spans="1:12" s="6" customFormat="1" ht="10">
      <c r="A19" s="66" t="s">
        <v>91</v>
      </c>
      <c r="B19" s="249">
        <v>360</v>
      </c>
      <c r="C19" s="309">
        <f t="shared" si="4"/>
        <v>-1.098901098901095E-2</v>
      </c>
      <c r="D19" s="249">
        <v>364</v>
      </c>
      <c r="E19" s="309">
        <f t="shared" si="5"/>
        <v>-3.703703703703709E-2</v>
      </c>
      <c r="F19" s="249">
        <v>378</v>
      </c>
      <c r="G19" s="309">
        <f t="shared" si="3"/>
        <v>0.17757009345794383</v>
      </c>
      <c r="H19" s="249">
        <v>321</v>
      </c>
      <c r="I19" s="269">
        <f t="shared" si="6"/>
        <v>4.2207792207792139E-2</v>
      </c>
      <c r="J19" s="67">
        <v>308</v>
      </c>
      <c r="K19" s="8"/>
      <c r="L19" s="8"/>
    </row>
    <row r="20" spans="1:12" s="6" customFormat="1" ht="10">
      <c r="A20" s="66" t="s">
        <v>92</v>
      </c>
      <c r="B20" s="249">
        <v>207</v>
      </c>
      <c r="C20" s="309">
        <f t="shared" si="4"/>
        <v>-9.5693779904306719E-3</v>
      </c>
      <c r="D20" s="249">
        <v>209</v>
      </c>
      <c r="E20" s="309">
        <f t="shared" si="5"/>
        <v>-4.1284403669724745E-2</v>
      </c>
      <c r="F20" s="249">
        <v>218</v>
      </c>
      <c r="G20" s="309">
        <f t="shared" si="3"/>
        <v>4.6082949308756671E-3</v>
      </c>
      <c r="H20" s="249">
        <v>217</v>
      </c>
      <c r="I20" s="269">
        <f t="shared" si="6"/>
        <v>-4.5871559633027248E-3</v>
      </c>
      <c r="J20" s="67">
        <v>218</v>
      </c>
      <c r="K20" s="8"/>
      <c r="L20" s="8"/>
    </row>
    <row r="21" spans="1:12" s="6" customFormat="1" ht="10">
      <c r="A21" s="66" t="s">
        <v>93</v>
      </c>
      <c r="B21" s="249">
        <v>61</v>
      </c>
      <c r="C21" s="309">
        <f t="shared" si="4"/>
        <v>5.1724137931034475E-2</v>
      </c>
      <c r="D21" s="249">
        <v>58</v>
      </c>
      <c r="E21" s="309">
        <f t="shared" si="5"/>
        <v>0.11538461538461542</v>
      </c>
      <c r="F21" s="249">
        <v>52</v>
      </c>
      <c r="G21" s="309">
        <f t="shared" si="3"/>
        <v>-0.46938775510204078</v>
      </c>
      <c r="H21" s="249">
        <v>98</v>
      </c>
      <c r="I21" s="269">
        <f t="shared" si="6"/>
        <v>-0.11711711711711714</v>
      </c>
      <c r="J21" s="67">
        <v>111</v>
      </c>
      <c r="K21" s="8"/>
      <c r="L21" s="8"/>
    </row>
    <row r="22" spans="1:12" s="6" customFormat="1" ht="10">
      <c r="A22" s="66" t="s">
        <v>94</v>
      </c>
      <c r="B22" s="249">
        <v>8</v>
      </c>
      <c r="C22" s="309">
        <f t="shared" si="4"/>
        <v>-0.33333333333333337</v>
      </c>
      <c r="D22" s="249">
        <v>12</v>
      </c>
      <c r="E22" s="309">
        <f t="shared" si="5"/>
        <v>-7.6923076923076872E-2</v>
      </c>
      <c r="F22" s="249">
        <v>13</v>
      </c>
      <c r="G22" s="309">
        <f t="shared" si="3"/>
        <v>-0.5</v>
      </c>
      <c r="H22" s="249">
        <v>26</v>
      </c>
      <c r="I22" s="269">
        <f t="shared" si="6"/>
        <v>4.0000000000000036E-2</v>
      </c>
      <c r="J22" s="67">
        <v>25</v>
      </c>
      <c r="K22" s="8"/>
      <c r="L22" s="8"/>
    </row>
    <row r="23" spans="1:12" s="6" customFormat="1" ht="10">
      <c r="A23" s="66" t="s">
        <v>95</v>
      </c>
      <c r="B23" s="249">
        <v>40</v>
      </c>
      <c r="C23" s="309">
        <f t="shared" si="4"/>
        <v>0.14285714285714279</v>
      </c>
      <c r="D23" s="249">
        <v>35</v>
      </c>
      <c r="E23" s="309">
        <f t="shared" si="5"/>
        <v>-2.777777777777779E-2</v>
      </c>
      <c r="F23" s="249">
        <v>36</v>
      </c>
      <c r="G23" s="309">
        <f t="shared" si="3"/>
        <v>-0.18181818181818177</v>
      </c>
      <c r="H23" s="249">
        <v>44</v>
      </c>
      <c r="I23" s="269">
        <f t="shared" si="6"/>
        <v>0.12820512820512819</v>
      </c>
      <c r="J23" s="67">
        <v>39</v>
      </c>
      <c r="K23" s="8"/>
      <c r="L23" s="8"/>
    </row>
    <row r="24" spans="1:12" s="6" customFormat="1" ht="10">
      <c r="A24" s="66" t="s">
        <v>96</v>
      </c>
      <c r="B24" s="249">
        <v>27</v>
      </c>
      <c r="C24" s="309">
        <f t="shared" si="4"/>
        <v>8.0000000000000071E-2</v>
      </c>
      <c r="D24" s="249">
        <v>25</v>
      </c>
      <c r="E24" s="309">
        <f t="shared" si="5"/>
        <v>0.13636363636363646</v>
      </c>
      <c r="F24" s="249">
        <v>22</v>
      </c>
      <c r="G24" s="309">
        <f t="shared" si="3"/>
        <v>0</v>
      </c>
      <c r="H24" s="249">
        <v>22</v>
      </c>
      <c r="I24" s="269">
        <f t="shared" si="6"/>
        <v>-4.3478260869565188E-2</v>
      </c>
      <c r="J24" s="67">
        <v>23</v>
      </c>
      <c r="K24" s="8"/>
      <c r="L24" s="8"/>
    </row>
    <row r="25" spans="1:12" s="6" customFormat="1" ht="10">
      <c r="A25" s="66" t="s">
        <v>97</v>
      </c>
      <c r="B25" s="249">
        <v>4</v>
      </c>
      <c r="C25" s="309">
        <f t="shared" si="4"/>
        <v>-0.6</v>
      </c>
      <c r="D25" s="249">
        <v>10</v>
      </c>
      <c r="E25" s="309">
        <f t="shared" si="5"/>
        <v>-0.75</v>
      </c>
      <c r="F25" s="249">
        <v>40</v>
      </c>
      <c r="G25" s="309">
        <f t="shared" si="3"/>
        <v>-0.32203389830508478</v>
      </c>
      <c r="H25" s="249">
        <v>59</v>
      </c>
      <c r="I25" s="269">
        <f t="shared" si="6"/>
        <v>-0.36559139784946237</v>
      </c>
      <c r="J25" s="67">
        <v>93</v>
      </c>
      <c r="K25" s="8"/>
      <c r="L25" s="8"/>
    </row>
    <row r="26" spans="1:12" s="6" customFormat="1" ht="10">
      <c r="A26" s="66" t="s">
        <v>98</v>
      </c>
      <c r="B26" s="180">
        <v>43</v>
      </c>
      <c r="C26" s="309">
        <f t="shared" si="4"/>
        <v>2.3809523809523725E-2</v>
      </c>
      <c r="D26" s="180">
        <v>42</v>
      </c>
      <c r="E26" s="309">
        <f t="shared" si="5"/>
        <v>-0.1428571428571429</v>
      </c>
      <c r="F26" s="344">
        <v>49</v>
      </c>
      <c r="G26" s="309">
        <f t="shared" si="3"/>
        <v>-0.16949152542372881</v>
      </c>
      <c r="H26" s="344">
        <v>59</v>
      </c>
      <c r="I26" s="269">
        <f t="shared" si="6"/>
        <v>-1.6666666666666718E-2</v>
      </c>
      <c r="J26" s="69">
        <v>60</v>
      </c>
      <c r="K26" s="8"/>
      <c r="L26" s="8"/>
    </row>
    <row r="27" spans="1:12" s="6" customFormat="1" ht="10">
      <c r="A27" s="66" t="s">
        <v>99</v>
      </c>
      <c r="B27" s="249">
        <v>62</v>
      </c>
      <c r="C27" s="309">
        <f t="shared" si="4"/>
        <v>0.58974358974358965</v>
      </c>
      <c r="D27" s="249">
        <v>39</v>
      </c>
      <c r="E27" s="309">
        <f t="shared" si="5"/>
        <v>1.4375</v>
      </c>
      <c r="F27" s="249">
        <v>16</v>
      </c>
      <c r="G27" s="309">
        <f t="shared" si="3"/>
        <v>-0.36</v>
      </c>
      <c r="H27" s="249">
        <v>25</v>
      </c>
      <c r="I27" s="269">
        <f t="shared" si="6"/>
        <v>8.6956521739130377E-2</v>
      </c>
      <c r="J27" s="67">
        <v>23</v>
      </c>
      <c r="K27" s="8"/>
      <c r="L27" s="8"/>
    </row>
    <row r="28" spans="1:12" s="2" customFormat="1" ht="10.5">
      <c r="A28" s="66" t="s">
        <v>100</v>
      </c>
      <c r="B28" s="249">
        <v>130</v>
      </c>
      <c r="C28" s="309">
        <f t="shared" si="4"/>
        <v>0.54761904761904767</v>
      </c>
      <c r="D28" s="249">
        <v>84</v>
      </c>
      <c r="E28" s="309">
        <f t="shared" si="5"/>
        <v>-0.37777777777777777</v>
      </c>
      <c r="F28" s="249">
        <v>135</v>
      </c>
      <c r="G28" s="309">
        <f t="shared" si="3"/>
        <v>-0.33497536945812811</v>
      </c>
      <c r="H28" s="249">
        <v>203</v>
      </c>
      <c r="I28" s="269">
        <f t="shared" si="6"/>
        <v>-0.30000000000000004</v>
      </c>
      <c r="J28" s="67">
        <v>290</v>
      </c>
      <c r="K28" s="4"/>
      <c r="L28" s="4"/>
    </row>
    <row r="29" spans="1:12" s="6" customFormat="1" ht="10">
      <c r="A29" s="66" t="s">
        <v>101</v>
      </c>
      <c r="B29" s="249">
        <v>0</v>
      </c>
      <c r="C29" s="309">
        <f t="shared" si="4"/>
        <v>-1</v>
      </c>
      <c r="D29" s="249">
        <v>1</v>
      </c>
      <c r="E29" s="309">
        <f t="shared" si="5"/>
        <v>-0.83333333333333337</v>
      </c>
      <c r="F29" s="249">
        <v>6</v>
      </c>
      <c r="G29" s="309">
        <f t="shared" si="3"/>
        <v>-0.5</v>
      </c>
      <c r="H29" s="249">
        <v>12</v>
      </c>
      <c r="I29" s="269">
        <f t="shared" si="6"/>
        <v>3</v>
      </c>
      <c r="J29" s="67">
        <v>3</v>
      </c>
      <c r="K29" s="8"/>
      <c r="L29" s="8"/>
    </row>
    <row r="30" spans="1:12" s="6" customFormat="1" ht="10">
      <c r="A30" s="66" t="s">
        <v>102</v>
      </c>
      <c r="B30" s="249">
        <v>567</v>
      </c>
      <c r="C30" s="309">
        <f t="shared" si="4"/>
        <v>0.46134020618556693</v>
      </c>
      <c r="D30" s="249">
        <v>388</v>
      </c>
      <c r="E30" s="309">
        <f t="shared" si="5"/>
        <v>0.17933130699088151</v>
      </c>
      <c r="F30" s="249">
        <v>329</v>
      </c>
      <c r="G30" s="309">
        <f t="shared" si="3"/>
        <v>1.2534246575342465</v>
      </c>
      <c r="H30" s="249">
        <v>146</v>
      </c>
      <c r="I30" s="269">
        <f t="shared" si="6"/>
        <v>0.22689075630252109</v>
      </c>
      <c r="J30" s="67">
        <v>119</v>
      </c>
      <c r="K30" s="8"/>
      <c r="L30" s="8"/>
    </row>
    <row r="31" spans="1:12" s="6" customFormat="1" ht="10">
      <c r="A31" s="66" t="s">
        <v>103</v>
      </c>
      <c r="B31" s="249">
        <v>2681</v>
      </c>
      <c r="C31" s="309">
        <f t="shared" si="4"/>
        <v>-0.2798818157399946</v>
      </c>
      <c r="D31" s="249">
        <v>3723</v>
      </c>
      <c r="E31" s="309">
        <f t="shared" si="5"/>
        <v>-1.1417950079660066E-2</v>
      </c>
      <c r="F31" s="249">
        <v>3766</v>
      </c>
      <c r="G31" s="309">
        <f t="shared" si="3"/>
        <v>-0.16570669029685425</v>
      </c>
      <c r="H31" s="249">
        <v>4514</v>
      </c>
      <c r="I31" s="269">
        <f t="shared" si="6"/>
        <v>-0.21454672002784059</v>
      </c>
      <c r="J31" s="67">
        <v>5747</v>
      </c>
      <c r="K31" s="8"/>
      <c r="L31" s="8"/>
    </row>
    <row r="32" spans="1:12" s="6" customFormat="1" ht="10">
      <c r="A32" s="66" t="s">
        <v>104</v>
      </c>
      <c r="B32" s="249">
        <v>7603</v>
      </c>
      <c r="C32" s="309">
        <f t="shared" si="4"/>
        <v>0.16969230769230759</v>
      </c>
      <c r="D32" s="249">
        <v>6500</v>
      </c>
      <c r="E32" s="309">
        <f t="shared" si="5"/>
        <v>0.26213592233009719</v>
      </c>
      <c r="F32" s="249">
        <v>5150</v>
      </c>
      <c r="G32" s="309">
        <f t="shared" si="3"/>
        <v>4.0824575586095424E-2</v>
      </c>
      <c r="H32" s="249">
        <v>4948</v>
      </c>
      <c r="I32" s="269">
        <f t="shared" si="6"/>
        <v>0.19343945972021226</v>
      </c>
      <c r="J32" s="67">
        <v>4146</v>
      </c>
      <c r="K32" s="8"/>
      <c r="L32" s="8"/>
    </row>
    <row r="33" spans="1:12" s="6" customFormat="1" ht="10">
      <c r="A33" s="66" t="s">
        <v>105</v>
      </c>
      <c r="B33" s="250">
        <v>1053</v>
      </c>
      <c r="C33" s="309">
        <f t="shared" si="4"/>
        <v>6.6921606118546251E-3</v>
      </c>
      <c r="D33" s="250">
        <v>1046</v>
      </c>
      <c r="E33" s="309">
        <f t="shared" si="5"/>
        <v>-1.227573182247399E-2</v>
      </c>
      <c r="F33" s="250">
        <v>1059</v>
      </c>
      <c r="G33" s="309">
        <f t="shared" si="3"/>
        <v>0.19932049830124576</v>
      </c>
      <c r="H33" s="250">
        <v>883</v>
      </c>
      <c r="I33" s="269">
        <f t="shared" si="6"/>
        <v>-0.27265238879736409</v>
      </c>
      <c r="J33" s="72">
        <v>1214</v>
      </c>
      <c r="K33" s="8"/>
      <c r="L33" s="8"/>
    </row>
    <row r="34" spans="1:12" s="6" customFormat="1" ht="10">
      <c r="A34" s="66" t="s">
        <v>106</v>
      </c>
      <c r="B34" s="250">
        <v>917</v>
      </c>
      <c r="C34" s="309">
        <f t="shared" si="4"/>
        <v>0.201834862385321</v>
      </c>
      <c r="D34" s="250">
        <v>763</v>
      </c>
      <c r="E34" s="309">
        <f t="shared" si="5"/>
        <v>3.9509536784741117E-2</v>
      </c>
      <c r="F34" s="250">
        <v>734</v>
      </c>
      <c r="G34" s="309">
        <f t="shared" si="3"/>
        <v>1.3812154696132506E-2</v>
      </c>
      <c r="H34" s="250">
        <v>724</v>
      </c>
      <c r="I34" s="269">
        <f t="shared" si="6"/>
        <v>-0.15222482435597184</v>
      </c>
      <c r="J34" s="72">
        <v>854</v>
      </c>
      <c r="K34" s="8"/>
      <c r="L34" s="8"/>
    </row>
    <row r="35" spans="1:12" s="6" customFormat="1" ht="10">
      <c r="A35" s="70" t="s">
        <v>86</v>
      </c>
      <c r="B35" s="73">
        <f>B13</f>
        <v>6900</v>
      </c>
      <c r="C35" s="309">
        <f t="shared" si="4"/>
        <v>-0.166566010387728</v>
      </c>
      <c r="D35" s="73">
        <f>D13</f>
        <v>8279</v>
      </c>
      <c r="E35" s="309">
        <f t="shared" si="5"/>
        <v>-8.6203090507726232E-2</v>
      </c>
      <c r="F35" s="345">
        <f>F13</f>
        <v>9060</v>
      </c>
      <c r="G35" s="309">
        <f t="shared" si="3"/>
        <v>-1.8524536886577847E-2</v>
      </c>
      <c r="H35" s="345">
        <f>H13</f>
        <v>9231</v>
      </c>
      <c r="I35" s="269">
        <f t="shared" si="6"/>
        <v>-1.7351500958058375E-2</v>
      </c>
      <c r="J35" s="73">
        <f>J13</f>
        <v>9394</v>
      </c>
      <c r="K35" s="8"/>
      <c r="L35" s="8"/>
    </row>
    <row r="36" spans="1:12" s="6" customFormat="1" ht="10">
      <c r="A36" s="70" t="s">
        <v>87</v>
      </c>
      <c r="B36" s="73">
        <f>B14</f>
        <v>2472</v>
      </c>
      <c r="C36" s="309">
        <f t="shared" si="4"/>
        <v>-4.1117145073700567E-2</v>
      </c>
      <c r="D36" s="73">
        <f>D14</f>
        <v>2578</v>
      </c>
      <c r="E36" s="309">
        <f t="shared" si="5"/>
        <v>6.0032894736842035E-2</v>
      </c>
      <c r="F36" s="345">
        <f>F14</f>
        <v>2432</v>
      </c>
      <c r="G36" s="309">
        <f t="shared" si="3"/>
        <v>5.6013894919670015E-2</v>
      </c>
      <c r="H36" s="345">
        <f>H14</f>
        <v>2303</v>
      </c>
      <c r="I36" s="269">
        <f t="shared" si="6"/>
        <v>1.9477644975652852E-2</v>
      </c>
      <c r="J36" s="73">
        <f>J14</f>
        <v>2259</v>
      </c>
      <c r="K36" s="8"/>
      <c r="L36" s="8"/>
    </row>
    <row r="37" spans="1:12" s="2" customFormat="1" ht="10.5">
      <c r="A37" s="70" t="s">
        <v>107</v>
      </c>
      <c r="B37" s="180">
        <f>B15+B16+B17+B18+B19+B20+B21+B22+B23+B24</f>
        <v>2787</v>
      </c>
      <c r="C37" s="309">
        <f t="shared" si="4"/>
        <v>-1.3800424628450103E-2</v>
      </c>
      <c r="D37" s="69">
        <f>D15+D16+D17+D18+D19+D20+D21+D22+D23+D24</f>
        <v>2826</v>
      </c>
      <c r="E37" s="309">
        <f t="shared" si="5"/>
        <v>-5.6298381421534538E-3</v>
      </c>
      <c r="F37" s="344">
        <f>F15+F16+F17+F18+F19+F20+F21+F22+F23+F24</f>
        <v>2842</v>
      </c>
      <c r="G37" s="309">
        <f t="shared" si="3"/>
        <v>-2.6712328767123261E-2</v>
      </c>
      <c r="H37" s="344">
        <f>H15+H16+H17+H18+H19+H20+H21+H22+H23+H24</f>
        <v>2920</v>
      </c>
      <c r="I37" s="269">
        <f t="shared" si="6"/>
        <v>1.5652173913043521E-2</v>
      </c>
      <c r="J37" s="69">
        <f>J15+J16+J17+J18+J19+J20+J21+J22+J23+J24</f>
        <v>2875</v>
      </c>
      <c r="K37" s="4"/>
      <c r="L37" s="4"/>
    </row>
    <row r="38" spans="1:12" s="2" customFormat="1" ht="10.5">
      <c r="A38" s="70" t="s">
        <v>108</v>
      </c>
      <c r="B38" s="180">
        <f>B25+B26+B27+B28+B29+B30</f>
        <v>806</v>
      </c>
      <c r="C38" s="309">
        <f t="shared" si="4"/>
        <v>0.42907801418439706</v>
      </c>
      <c r="D38" s="69">
        <f>D25+D26+D27+D28+D29+D30</f>
        <v>564</v>
      </c>
      <c r="E38" s="309">
        <f t="shared" si="5"/>
        <v>-1.9130434782608674E-2</v>
      </c>
      <c r="F38" s="344">
        <f>F25+F26+F27+F28+F29+F30</f>
        <v>575</v>
      </c>
      <c r="G38" s="309">
        <f t="shared" si="3"/>
        <v>0.14087301587301582</v>
      </c>
      <c r="H38" s="344">
        <f>H25+H26+H27+H28+H29+H30</f>
        <v>504</v>
      </c>
      <c r="I38" s="269">
        <f t="shared" si="6"/>
        <v>-0.1428571428571429</v>
      </c>
      <c r="J38" s="69">
        <f>J25+J26+J27+J28+J29+J30</f>
        <v>588</v>
      </c>
      <c r="K38" s="4"/>
      <c r="L38" s="4"/>
    </row>
    <row r="39" spans="1:12" s="6" customFormat="1" ht="10">
      <c r="A39" s="70" t="s">
        <v>109</v>
      </c>
      <c r="B39" s="180">
        <f>B31+B32+B33+B34</f>
        <v>12254</v>
      </c>
      <c r="C39" s="309">
        <f t="shared" si="4"/>
        <v>1.8450797872340496E-2</v>
      </c>
      <c r="D39" s="69">
        <f>D31+D32+D33+D34</f>
        <v>12032</v>
      </c>
      <c r="E39" s="309">
        <f t="shared" si="5"/>
        <v>0.12354094686712114</v>
      </c>
      <c r="F39" s="344">
        <f>F31+F32+F33+F34</f>
        <v>10709</v>
      </c>
      <c r="G39" s="309">
        <f t="shared" si="3"/>
        <v>-3.2523263167404504E-2</v>
      </c>
      <c r="H39" s="344">
        <f>H31+H32+H33+H34</f>
        <v>11069</v>
      </c>
      <c r="I39" s="269">
        <f t="shared" si="6"/>
        <v>-7.4575704372544127E-2</v>
      </c>
      <c r="J39" s="69">
        <f>J31+J32+J33+J34</f>
        <v>11961</v>
      </c>
      <c r="K39" s="8"/>
      <c r="L39" s="8"/>
    </row>
    <row r="40" spans="1:12" s="2" customFormat="1" ht="10.5">
      <c r="A40" s="74" t="s">
        <v>110</v>
      </c>
      <c r="B40" s="75">
        <f>SUM(B35:B39)</f>
        <v>25219</v>
      </c>
      <c r="C40" s="308">
        <f t="shared" si="4"/>
        <v>-4.0336390273602474E-2</v>
      </c>
      <c r="D40" s="75">
        <f>SUM(D35:D39)</f>
        <v>26279</v>
      </c>
      <c r="E40" s="308">
        <f t="shared" si="5"/>
        <v>2.5802170348973474E-2</v>
      </c>
      <c r="F40" s="346">
        <f>SUM(F35:F39)</f>
        <v>25618</v>
      </c>
      <c r="G40" s="308">
        <f t="shared" si="3"/>
        <v>-1.5714450378453093E-2</v>
      </c>
      <c r="H40" s="346">
        <f>SUM(H35:H39)</f>
        <v>26027</v>
      </c>
      <c r="I40" s="279">
        <f t="shared" si="6"/>
        <v>-3.8778298925287169E-2</v>
      </c>
      <c r="J40" s="75">
        <f>SUM(J35:J39)</f>
        <v>27077</v>
      </c>
      <c r="K40" s="4"/>
      <c r="L40" s="4"/>
    </row>
    <row r="41" spans="1:12" s="82" customFormat="1" ht="10">
      <c r="A41" s="77" t="s">
        <v>120</v>
      </c>
      <c r="B41" s="78">
        <f>B40/Group!B154</f>
        <v>0.32786437681197106</v>
      </c>
      <c r="C41" s="309"/>
      <c r="D41" s="78">
        <f>D40/Group!D154</f>
        <v>0.34825072886297376</v>
      </c>
      <c r="E41" s="309"/>
      <c r="F41" s="343">
        <f>F40/Group!F154</f>
        <v>0.3513936135191485</v>
      </c>
      <c r="G41" s="309"/>
      <c r="H41" s="343">
        <f>H40/[1]Group!E152</f>
        <v>0.36229624577179526</v>
      </c>
      <c r="I41" s="343"/>
      <c r="J41" s="78">
        <f>J40/Group!J154</f>
        <v>0.36932414921912299</v>
      </c>
      <c r="K41" s="81"/>
      <c r="L41" s="81"/>
    </row>
    <row r="42" spans="1:12" ht="12" customHeight="1">
      <c r="A42" s="61"/>
      <c r="B42" s="64"/>
      <c r="C42" s="309"/>
      <c r="D42" s="64"/>
      <c r="E42" s="309"/>
      <c r="F42" s="64"/>
      <c r="G42" s="309"/>
      <c r="H42" s="64"/>
      <c r="I42" s="64"/>
      <c r="J42" s="64"/>
    </row>
    <row r="43" spans="1:12" s="60" customFormat="1" ht="12" customHeight="1">
      <c r="A43" s="74" t="s">
        <v>1</v>
      </c>
      <c r="B43" s="65"/>
      <c r="C43" s="309"/>
      <c r="D43" s="65"/>
      <c r="E43" s="309"/>
      <c r="F43" s="65"/>
      <c r="G43" s="309"/>
      <c r="H43" s="65"/>
      <c r="I43" s="65"/>
      <c r="J43" s="65"/>
    </row>
    <row r="44" spans="1:12" s="2" customFormat="1" ht="10.5">
      <c r="A44" s="66" t="s">
        <v>86</v>
      </c>
      <c r="B44" s="252">
        <v>1207.05</v>
      </c>
      <c r="C44" s="309">
        <f t="shared" ref="C44:C71" si="7">IF((+B44/D44)&lt;0,"n.m.",IF(B44&lt;0,(+B44/D44-1)*-1,(+B44/D44-1)))</f>
        <v>-0.17529823314794823</v>
      </c>
      <c r="D44" s="252">
        <v>1463.62</v>
      </c>
      <c r="E44" s="309">
        <f t="shared" ref="E44:E101" si="8">IF((+D44/F44)&lt;0,"n.m.",IF(D44&lt;0,(+D44/F44-1)*-1,(+D44/F44-1)))</f>
        <v>3.1252998505886254E-3</v>
      </c>
      <c r="F44" s="252">
        <v>1459.06</v>
      </c>
      <c r="G44" s="309">
        <f t="shared" si="3"/>
        <v>3.3701974509206645E-2</v>
      </c>
      <c r="H44" s="252">
        <v>1411.49</v>
      </c>
      <c r="I44" s="269">
        <f t="shared" ref="I44:I71" si="9">IF((+H44/J44)&lt;0,"n.m.",IF(H44&lt;0,(+H44/J44-1)*-1,(+H44/J44-1)))</f>
        <v>1.2910823100440449E-3</v>
      </c>
      <c r="J44" s="83">
        <v>1409.67</v>
      </c>
      <c r="K44" s="4"/>
      <c r="L44" s="4"/>
    </row>
    <row r="45" spans="1:12" s="2" customFormat="1" ht="10.5">
      <c r="A45" s="66" t="s">
        <v>87</v>
      </c>
      <c r="B45" s="252">
        <v>447.96</v>
      </c>
      <c r="C45" s="309">
        <f t="shared" si="7"/>
        <v>-0.11503585610146394</v>
      </c>
      <c r="D45" s="252">
        <v>506.19</v>
      </c>
      <c r="E45" s="309">
        <f t="shared" si="8"/>
        <v>7.2230181470869237E-3</v>
      </c>
      <c r="F45" s="252">
        <v>502.56</v>
      </c>
      <c r="G45" s="309">
        <f t="shared" si="3"/>
        <v>0.32510678690080685</v>
      </c>
      <c r="H45" s="252">
        <v>379.26</v>
      </c>
      <c r="I45" s="269">
        <f t="shared" si="9"/>
        <v>7.8791671407441033E-2</v>
      </c>
      <c r="J45" s="83">
        <v>351.56</v>
      </c>
      <c r="K45" s="4"/>
      <c r="L45" s="4"/>
    </row>
    <row r="46" spans="1:12" s="2" customFormat="1" ht="10.5">
      <c r="A46" s="66" t="s">
        <v>88</v>
      </c>
      <c r="B46" s="252">
        <v>118.67</v>
      </c>
      <c r="C46" s="309">
        <f t="shared" si="7"/>
        <v>0.60755892712002146</v>
      </c>
      <c r="D46" s="252">
        <v>73.820000000000007</v>
      </c>
      <c r="E46" s="309">
        <f t="shared" si="8"/>
        <v>0.28718395815170017</v>
      </c>
      <c r="F46" s="252">
        <v>57.35</v>
      </c>
      <c r="G46" s="309">
        <f t="shared" si="3"/>
        <v>0.16093117408906887</v>
      </c>
      <c r="H46" s="252">
        <v>49.4</v>
      </c>
      <c r="I46" s="269">
        <f t="shared" si="9"/>
        <v>-0.21362623368354028</v>
      </c>
      <c r="J46" s="83">
        <v>62.82</v>
      </c>
      <c r="K46" s="4"/>
      <c r="L46" s="4"/>
    </row>
    <row r="47" spans="1:12" s="2" customFormat="1" ht="10.5">
      <c r="A47" s="66" t="s">
        <v>89</v>
      </c>
      <c r="B47" s="252">
        <v>140.69999999999999</v>
      </c>
      <c r="C47" s="309">
        <f t="shared" si="7"/>
        <v>-2.3730224812656187E-2</v>
      </c>
      <c r="D47" s="252">
        <v>144.12</v>
      </c>
      <c r="E47" s="309">
        <f t="shared" si="8"/>
        <v>0.23084806559057136</v>
      </c>
      <c r="F47" s="252">
        <v>117.09</v>
      </c>
      <c r="G47" s="309">
        <f t="shared" si="3"/>
        <v>0.13734822729480323</v>
      </c>
      <c r="H47" s="252">
        <v>102.95</v>
      </c>
      <c r="I47" s="269">
        <f t="shared" si="9"/>
        <v>-8.6512866015971635E-2</v>
      </c>
      <c r="J47" s="83">
        <v>112.7</v>
      </c>
      <c r="K47" s="4"/>
      <c r="L47" s="4"/>
    </row>
    <row r="48" spans="1:12" s="6" customFormat="1" ht="10">
      <c r="A48" s="66" t="s">
        <v>90</v>
      </c>
      <c r="B48" s="252">
        <v>157.71</v>
      </c>
      <c r="C48" s="309">
        <f t="shared" si="7"/>
        <v>-3.156278784157196E-2</v>
      </c>
      <c r="D48" s="252">
        <v>162.85</v>
      </c>
      <c r="E48" s="309">
        <f t="shared" si="8"/>
        <v>0.20952168746286404</v>
      </c>
      <c r="F48" s="252">
        <v>134.63999999999999</v>
      </c>
      <c r="G48" s="309">
        <f t="shared" si="3"/>
        <v>0.21868211440984786</v>
      </c>
      <c r="H48" s="252">
        <v>110.48</v>
      </c>
      <c r="I48" s="269">
        <f t="shared" si="9"/>
        <v>-6.6339896898504169E-2</v>
      </c>
      <c r="J48" s="83">
        <v>118.33</v>
      </c>
      <c r="K48" s="8"/>
      <c r="L48" s="8"/>
    </row>
    <row r="49" spans="1:12" s="6" customFormat="1" ht="10">
      <c r="A49" s="66" t="s">
        <v>132</v>
      </c>
      <c r="B49" s="252">
        <v>3.07</v>
      </c>
      <c r="C49" s="309">
        <f t="shared" si="7"/>
        <v>-0.49754500818330616</v>
      </c>
      <c r="D49" s="252">
        <v>6.11</v>
      </c>
      <c r="E49" s="309">
        <f t="shared" si="8"/>
        <v>-0.89782608695652177</v>
      </c>
      <c r="F49" s="252">
        <v>59.8</v>
      </c>
      <c r="G49" s="309">
        <f t="shared" si="3"/>
        <v>0.94282001299545137</v>
      </c>
      <c r="H49" s="252">
        <v>30.78</v>
      </c>
      <c r="I49" s="269">
        <f t="shared" si="9"/>
        <v>2.9160305343511452</v>
      </c>
      <c r="J49" s="83">
        <v>7.86</v>
      </c>
      <c r="K49" s="8"/>
      <c r="L49" s="8"/>
    </row>
    <row r="50" spans="1:12" s="6" customFormat="1" ht="10">
      <c r="A50" s="66" t="s">
        <v>91</v>
      </c>
      <c r="B50" s="252">
        <v>46.77</v>
      </c>
      <c r="C50" s="309">
        <f t="shared" si="7"/>
        <v>-0.10264773599386023</v>
      </c>
      <c r="D50" s="252">
        <v>52.12</v>
      </c>
      <c r="E50" s="309">
        <f t="shared" si="8"/>
        <v>-0.12726054922973884</v>
      </c>
      <c r="F50" s="252">
        <v>59.72</v>
      </c>
      <c r="G50" s="309">
        <f t="shared" si="3"/>
        <v>0.53364149974319464</v>
      </c>
      <c r="H50" s="252">
        <v>38.94</v>
      </c>
      <c r="I50" s="269">
        <f t="shared" si="9"/>
        <v>-0.2098214285714286</v>
      </c>
      <c r="J50" s="83">
        <v>49.28</v>
      </c>
      <c r="K50" s="8"/>
      <c r="L50" s="8"/>
    </row>
    <row r="51" spans="1:12" s="6" customFormat="1" ht="10">
      <c r="A51" s="66" t="s">
        <v>92</v>
      </c>
      <c r="B51" s="252">
        <v>29.34</v>
      </c>
      <c r="C51" s="309">
        <f t="shared" si="7"/>
        <v>7.5907590759075827E-2</v>
      </c>
      <c r="D51" s="252">
        <v>27.27</v>
      </c>
      <c r="E51" s="309">
        <f t="shared" si="8"/>
        <v>0.11716509627201965</v>
      </c>
      <c r="F51" s="252">
        <v>24.41</v>
      </c>
      <c r="G51" s="309">
        <f t="shared" si="3"/>
        <v>-6.1153846153846114E-2</v>
      </c>
      <c r="H51" s="252">
        <v>26</v>
      </c>
      <c r="I51" s="269">
        <f t="shared" si="9"/>
        <v>-0.11983750846310082</v>
      </c>
      <c r="J51" s="83">
        <v>29.54</v>
      </c>
      <c r="K51" s="8"/>
      <c r="L51" s="8"/>
    </row>
    <row r="52" spans="1:12" s="6" customFormat="1" ht="10">
      <c r="A52" s="66" t="s">
        <v>93</v>
      </c>
      <c r="B52" s="252">
        <v>18.66</v>
      </c>
      <c r="C52" s="309">
        <f t="shared" si="7"/>
        <v>0.32246633593196328</v>
      </c>
      <c r="D52" s="252">
        <v>14.11</v>
      </c>
      <c r="E52" s="309">
        <f t="shared" si="8"/>
        <v>0.18871103622577912</v>
      </c>
      <c r="F52" s="252">
        <v>11.870000000000001</v>
      </c>
      <c r="G52" s="309">
        <f t="shared" si="3"/>
        <v>0.14908034849951601</v>
      </c>
      <c r="H52" s="252">
        <v>10.33</v>
      </c>
      <c r="I52" s="269">
        <f t="shared" si="9"/>
        <v>-9.3064091308165064E-2</v>
      </c>
      <c r="J52" s="83">
        <v>11.39</v>
      </c>
      <c r="K52" s="8"/>
      <c r="L52" s="8"/>
    </row>
    <row r="53" spans="1:12" s="6" customFormat="1" ht="10">
      <c r="A53" s="66" t="s">
        <v>94</v>
      </c>
      <c r="B53" s="252">
        <v>6.07</v>
      </c>
      <c r="C53" s="309">
        <f t="shared" si="7"/>
        <v>-0.19389110225763606</v>
      </c>
      <c r="D53" s="252">
        <v>7.53</v>
      </c>
      <c r="E53" s="309">
        <f t="shared" si="8"/>
        <v>4.0000000000000036E-3</v>
      </c>
      <c r="F53" s="252">
        <v>7.5</v>
      </c>
      <c r="G53" s="309">
        <f t="shared" si="3"/>
        <v>-0.4887525562372188</v>
      </c>
      <c r="H53" s="252">
        <v>14.67</v>
      </c>
      <c r="I53" s="269">
        <f t="shared" si="9"/>
        <v>0.52178423236514515</v>
      </c>
      <c r="J53" s="83">
        <v>9.64</v>
      </c>
      <c r="K53" s="8"/>
      <c r="L53" s="8"/>
    </row>
    <row r="54" spans="1:12" s="6" customFormat="1" ht="10">
      <c r="A54" s="66" t="s">
        <v>95</v>
      </c>
      <c r="B54" s="252">
        <v>1.02</v>
      </c>
      <c r="C54" s="309">
        <f t="shared" si="7"/>
        <v>6.25E-2</v>
      </c>
      <c r="D54" s="252">
        <v>0.96</v>
      </c>
      <c r="E54" s="309">
        <f t="shared" si="8"/>
        <v>0.21518987341772133</v>
      </c>
      <c r="F54" s="252">
        <v>0.79</v>
      </c>
      <c r="G54" s="309">
        <f t="shared" si="3"/>
        <v>-0.76900584795321636</v>
      </c>
      <c r="H54" s="252">
        <v>3.42</v>
      </c>
      <c r="I54" s="269">
        <f t="shared" si="9"/>
        <v>0.37349397590361422</v>
      </c>
      <c r="J54" s="83">
        <v>2.4900000000000002</v>
      </c>
      <c r="K54" s="8"/>
      <c r="L54" s="8"/>
    </row>
    <row r="55" spans="1:12" s="6" customFormat="1" ht="10">
      <c r="A55" s="66" t="s">
        <v>96</v>
      </c>
      <c r="B55" s="252">
        <v>4.8600000000000003</v>
      </c>
      <c r="C55" s="309">
        <f t="shared" si="7"/>
        <v>0.11981566820276512</v>
      </c>
      <c r="D55" s="252">
        <v>4.34</v>
      </c>
      <c r="E55" s="309">
        <f t="shared" si="8"/>
        <v>0.25797101449275361</v>
      </c>
      <c r="F55" s="252">
        <v>3.4499999999999997</v>
      </c>
      <c r="G55" s="309">
        <f t="shared" si="3"/>
        <v>0.37450199203187262</v>
      </c>
      <c r="H55" s="252">
        <v>2.5099999999999998</v>
      </c>
      <c r="I55" s="269">
        <f t="shared" si="9"/>
        <v>-2.3346303501945553E-2</v>
      </c>
      <c r="J55" s="83">
        <v>2.57</v>
      </c>
      <c r="K55" s="8"/>
      <c r="L55" s="8"/>
    </row>
    <row r="56" spans="1:12" s="6" customFormat="1" ht="10">
      <c r="A56" s="66" t="s">
        <v>97</v>
      </c>
      <c r="B56" s="252">
        <v>2.2599999999999998</v>
      </c>
      <c r="C56" s="309">
        <f t="shared" si="7"/>
        <v>-0.33918128654970769</v>
      </c>
      <c r="D56" s="252">
        <v>3.42</v>
      </c>
      <c r="E56" s="309">
        <f t="shared" si="8"/>
        <v>-0.75036496350364956</v>
      </c>
      <c r="F56" s="252">
        <v>13.7</v>
      </c>
      <c r="G56" s="309">
        <f t="shared" si="3"/>
        <v>-0.39460892620415378</v>
      </c>
      <c r="H56" s="252">
        <v>22.63</v>
      </c>
      <c r="I56" s="269">
        <f t="shared" si="9"/>
        <v>-0.27699680511182112</v>
      </c>
      <c r="J56" s="83">
        <v>31.3</v>
      </c>
      <c r="K56" s="8"/>
      <c r="L56" s="8"/>
    </row>
    <row r="57" spans="1:12" s="6" customFormat="1" ht="10">
      <c r="A57" s="66" t="s">
        <v>98</v>
      </c>
      <c r="B57" s="181">
        <v>29.32</v>
      </c>
      <c r="C57" s="309">
        <f t="shared" si="7"/>
        <v>-0.16822695035460988</v>
      </c>
      <c r="D57" s="181">
        <v>35.25</v>
      </c>
      <c r="E57" s="309">
        <f t="shared" si="8"/>
        <v>1.465034965034965</v>
      </c>
      <c r="F57" s="253">
        <v>14.3</v>
      </c>
      <c r="G57" s="309">
        <f t="shared" si="3"/>
        <v>-0.78450874020494266</v>
      </c>
      <c r="H57" s="253">
        <v>66.36</v>
      </c>
      <c r="I57" s="269">
        <f t="shared" si="9"/>
        <v>-8.9462129527991152E-2</v>
      </c>
      <c r="J57" s="84">
        <v>72.88</v>
      </c>
      <c r="K57" s="8"/>
      <c r="L57" s="8"/>
    </row>
    <row r="58" spans="1:12" s="6" customFormat="1" ht="10">
      <c r="A58" s="66" t="s">
        <v>99</v>
      </c>
      <c r="B58" s="252">
        <v>22.63</v>
      </c>
      <c r="C58" s="309">
        <f t="shared" si="7"/>
        <v>1.6686320754716979</v>
      </c>
      <c r="D58" s="252">
        <v>8.48</v>
      </c>
      <c r="E58" s="309">
        <f t="shared" si="8"/>
        <v>0.94495412844036686</v>
      </c>
      <c r="F58" s="252">
        <v>4.3600000000000003</v>
      </c>
      <c r="G58" s="309">
        <f t="shared" si="3"/>
        <v>-0.6955307262569832</v>
      </c>
      <c r="H58" s="252">
        <v>14.32</v>
      </c>
      <c r="I58" s="269">
        <f t="shared" si="9"/>
        <v>-0.49912556838055266</v>
      </c>
      <c r="J58" s="83">
        <v>28.59</v>
      </c>
      <c r="K58" s="8"/>
      <c r="L58" s="8"/>
    </row>
    <row r="59" spans="1:12" s="2" customFormat="1" ht="10.5">
      <c r="A59" s="66" t="s">
        <v>100</v>
      </c>
      <c r="B59" s="252">
        <v>-11.17</v>
      </c>
      <c r="C59" s="309" t="str">
        <f t="shared" si="7"/>
        <v>n.m.</v>
      </c>
      <c r="D59" s="252">
        <v>63.09</v>
      </c>
      <c r="E59" s="309">
        <f t="shared" si="8"/>
        <v>8.7196277787351395E-2</v>
      </c>
      <c r="F59" s="252">
        <v>58.03</v>
      </c>
      <c r="G59" s="309">
        <f t="shared" si="3"/>
        <v>-0.22263898191560616</v>
      </c>
      <c r="H59" s="252">
        <v>74.650000000000006</v>
      </c>
      <c r="I59" s="269">
        <f t="shared" si="9"/>
        <v>-0.58793331861338038</v>
      </c>
      <c r="J59" s="83">
        <v>181.16</v>
      </c>
      <c r="K59" s="4"/>
      <c r="L59" s="4"/>
    </row>
    <row r="60" spans="1:12" s="6" customFormat="1" ht="10">
      <c r="A60" s="66" t="s">
        <v>101</v>
      </c>
      <c r="B60" s="252">
        <v>2.76</v>
      </c>
      <c r="C60" s="309">
        <f t="shared" si="7"/>
        <v>-0.33812949640287771</v>
      </c>
      <c r="D60" s="252">
        <v>4.17</v>
      </c>
      <c r="E60" s="309">
        <f t="shared" si="8"/>
        <v>-0.43032786885245899</v>
      </c>
      <c r="F60" s="252">
        <v>7.32</v>
      </c>
      <c r="G60" s="309">
        <f t="shared" si="3"/>
        <v>-8.8418430884184218E-2</v>
      </c>
      <c r="H60" s="252">
        <v>8.0299999999999994</v>
      </c>
      <c r="I60" s="269">
        <f t="shared" si="9"/>
        <v>0.53831417624521061</v>
      </c>
      <c r="J60" s="83">
        <v>5.22</v>
      </c>
      <c r="K60" s="8"/>
      <c r="L60" s="8"/>
    </row>
    <row r="61" spans="1:12" s="6" customFormat="1" ht="10">
      <c r="A61" s="66" t="s">
        <v>102</v>
      </c>
      <c r="B61" s="252">
        <v>178.92000000000002</v>
      </c>
      <c r="C61" s="309">
        <f t="shared" si="7"/>
        <v>0.52936148388751181</v>
      </c>
      <c r="D61" s="252">
        <v>116.99000000000001</v>
      </c>
      <c r="E61" s="309">
        <f t="shared" si="8"/>
        <v>0.79377491567003999</v>
      </c>
      <c r="F61" s="252">
        <v>65.22</v>
      </c>
      <c r="G61" s="309">
        <f t="shared" si="3"/>
        <v>1.1624668435013263</v>
      </c>
      <c r="H61" s="252">
        <v>30.16</v>
      </c>
      <c r="I61" s="269">
        <f t="shared" si="9"/>
        <v>0.70011273957158981</v>
      </c>
      <c r="J61" s="83">
        <v>17.739999999999998</v>
      </c>
      <c r="K61" s="8"/>
      <c r="L61" s="8"/>
    </row>
    <row r="62" spans="1:12" s="6" customFormat="1" ht="10">
      <c r="A62" s="66" t="s">
        <v>103</v>
      </c>
      <c r="B62" s="252">
        <v>141.69</v>
      </c>
      <c r="C62" s="309">
        <f t="shared" si="7"/>
        <v>-0.28399615948254076</v>
      </c>
      <c r="D62" s="252">
        <v>197.89</v>
      </c>
      <c r="E62" s="309">
        <f t="shared" si="8"/>
        <v>-0.32036267472610513</v>
      </c>
      <c r="F62" s="252">
        <v>291.17</v>
      </c>
      <c r="G62" s="309">
        <f t="shared" si="3"/>
        <v>0.17568440604053959</v>
      </c>
      <c r="H62" s="252">
        <v>247.66</v>
      </c>
      <c r="I62" s="269">
        <f t="shared" si="9"/>
        <v>-0.12752765447755943</v>
      </c>
      <c r="J62" s="83">
        <v>283.86</v>
      </c>
      <c r="K62" s="8"/>
      <c r="L62" s="8"/>
    </row>
    <row r="63" spans="1:12" s="6" customFormat="1" ht="10">
      <c r="A63" s="66" t="s">
        <v>104</v>
      </c>
      <c r="B63" s="252">
        <v>678.03</v>
      </c>
      <c r="C63" s="309">
        <f t="shared" si="7"/>
        <v>4.029028645074173E-2</v>
      </c>
      <c r="D63" s="252">
        <v>651.77</v>
      </c>
      <c r="E63" s="309">
        <f t="shared" si="8"/>
        <v>0.73048534409515709</v>
      </c>
      <c r="F63" s="252">
        <v>376.64</v>
      </c>
      <c r="G63" s="309">
        <f t="shared" si="3"/>
        <v>0.10962495949091111</v>
      </c>
      <c r="H63" s="252">
        <v>339.43</v>
      </c>
      <c r="I63" s="269">
        <f t="shared" si="9"/>
        <v>0.21281309179261809</v>
      </c>
      <c r="J63" s="83">
        <v>279.87</v>
      </c>
      <c r="K63" s="8"/>
      <c r="L63" s="8"/>
    </row>
    <row r="64" spans="1:12" s="6" customFormat="1" ht="10">
      <c r="A64" s="66" t="s">
        <v>105</v>
      </c>
      <c r="B64" s="254">
        <v>62.36</v>
      </c>
      <c r="C64" s="309">
        <f t="shared" si="7"/>
        <v>0.25751159507965315</v>
      </c>
      <c r="D64" s="254">
        <v>49.59</v>
      </c>
      <c r="E64" s="309">
        <f t="shared" si="8"/>
        <v>0.16709814073899754</v>
      </c>
      <c r="F64" s="254">
        <v>42.49</v>
      </c>
      <c r="G64" s="309">
        <f t="shared" si="3"/>
        <v>-0.10150137449777963</v>
      </c>
      <c r="H64" s="254">
        <v>47.29</v>
      </c>
      <c r="I64" s="269">
        <f t="shared" si="9"/>
        <v>-0.49352040269893971</v>
      </c>
      <c r="J64" s="85">
        <v>93.37</v>
      </c>
      <c r="K64" s="8"/>
      <c r="L64" s="8"/>
    </row>
    <row r="65" spans="1:12" s="6" customFormat="1" ht="10">
      <c r="A65" s="66" t="s">
        <v>106</v>
      </c>
      <c r="B65" s="254">
        <v>161.89000000000001</v>
      </c>
      <c r="C65" s="309">
        <f t="shared" si="7"/>
        <v>0.10422208580587955</v>
      </c>
      <c r="D65" s="254">
        <v>146.61000000000001</v>
      </c>
      <c r="E65" s="309">
        <f t="shared" si="8"/>
        <v>0.59254833804040863</v>
      </c>
      <c r="F65" s="254">
        <v>92.06</v>
      </c>
      <c r="G65" s="309">
        <f t="shared" si="3"/>
        <v>-0.25835817288326746</v>
      </c>
      <c r="H65" s="254">
        <v>124.13</v>
      </c>
      <c r="I65" s="269">
        <f t="shared" si="9"/>
        <v>0.40625354027415894</v>
      </c>
      <c r="J65" s="85">
        <v>88.27</v>
      </c>
      <c r="K65" s="8"/>
      <c r="L65" s="8"/>
    </row>
    <row r="66" spans="1:12" s="6" customFormat="1" ht="10">
      <c r="A66" s="70" t="s">
        <v>86</v>
      </c>
      <c r="B66" s="182">
        <f>B44</f>
        <v>1207.05</v>
      </c>
      <c r="C66" s="309">
        <f t="shared" si="7"/>
        <v>-0.17529823314794823</v>
      </c>
      <c r="D66" s="86">
        <f>D44</f>
        <v>1463.62</v>
      </c>
      <c r="E66" s="309">
        <f t="shared" si="8"/>
        <v>3.1252998505886254E-3</v>
      </c>
      <c r="F66" s="347">
        <f>F44</f>
        <v>1459.06</v>
      </c>
      <c r="G66" s="309">
        <f t="shared" si="3"/>
        <v>3.3701974509206645E-2</v>
      </c>
      <c r="H66" s="347">
        <f>H44</f>
        <v>1411.49</v>
      </c>
      <c r="I66" s="269">
        <f t="shared" si="9"/>
        <v>1.2910823100440449E-3</v>
      </c>
      <c r="J66" s="86">
        <f>J44</f>
        <v>1409.67</v>
      </c>
      <c r="K66" s="8"/>
      <c r="L66" s="8"/>
    </row>
    <row r="67" spans="1:12" s="6" customFormat="1" ht="10">
      <c r="A67" s="70" t="s">
        <v>87</v>
      </c>
      <c r="B67" s="182">
        <f>B45</f>
        <v>447.96</v>
      </c>
      <c r="C67" s="309">
        <f t="shared" si="7"/>
        <v>-0.11503585610146394</v>
      </c>
      <c r="D67" s="86">
        <f>D45</f>
        <v>506.19</v>
      </c>
      <c r="E67" s="309">
        <f t="shared" si="8"/>
        <v>7.2230181470869237E-3</v>
      </c>
      <c r="F67" s="347">
        <f>F45</f>
        <v>502.56</v>
      </c>
      <c r="G67" s="309">
        <f t="shared" si="3"/>
        <v>0.32510678690080685</v>
      </c>
      <c r="H67" s="347">
        <f>H45</f>
        <v>379.26</v>
      </c>
      <c r="I67" s="269">
        <f t="shared" si="9"/>
        <v>7.8791671407441033E-2</v>
      </c>
      <c r="J67" s="86">
        <f>J45</f>
        <v>351.56</v>
      </c>
      <c r="K67" s="8"/>
      <c r="L67" s="8"/>
    </row>
    <row r="68" spans="1:12" s="2" customFormat="1" ht="10.5">
      <c r="A68" s="70" t="s">
        <v>107</v>
      </c>
      <c r="B68" s="181">
        <f>B46+B47+B48+B49+B50+B51+B52+B53+B54+B55</f>
        <v>526.87</v>
      </c>
      <c r="C68" s="309">
        <f t="shared" si="7"/>
        <v>6.8203475052207141E-2</v>
      </c>
      <c r="D68" s="84">
        <f>D46+D47+D48+D49+D50+D51+D52+D53+D54+D55</f>
        <v>493.2299999999999</v>
      </c>
      <c r="E68" s="309">
        <f t="shared" si="8"/>
        <v>3.4849565691745799E-2</v>
      </c>
      <c r="F68" s="253">
        <f>F46+F47+F48+F49+F50+F51+F52+F53+F54+F55</f>
        <v>476.62000000000006</v>
      </c>
      <c r="G68" s="309">
        <f t="shared" ref="G68:G101" si="10">IF((+F68/H68)&lt;0,"n.m.",IF(F68&lt;0,(+F68/H68-1)*-1,(+F68/H68-1)))</f>
        <v>0.22373420971551816</v>
      </c>
      <c r="H68" s="253">
        <f>H46+H47+H48+H49+H50+H51+H52+H53+H54+H55</f>
        <v>389.48</v>
      </c>
      <c r="I68" s="269">
        <f t="shared" si="9"/>
        <v>-4.2152378141753988E-2</v>
      </c>
      <c r="J68" s="84">
        <f>J46+J47+J48+J49+J50+J51+J52+J53+J54+J55</f>
        <v>406.62</v>
      </c>
      <c r="K68" s="4"/>
      <c r="L68" s="4"/>
    </row>
    <row r="69" spans="1:12" s="2" customFormat="1" ht="10.5">
      <c r="A69" s="70" t="s">
        <v>108</v>
      </c>
      <c r="B69" s="181">
        <f>B56+B57+B58+B59+B60+B61</f>
        <v>224.72</v>
      </c>
      <c r="C69" s="309">
        <f t="shared" si="7"/>
        <v>-2.8867761452031293E-2</v>
      </c>
      <c r="D69" s="84">
        <f>D56+D57+D58+D59+D60+D61</f>
        <v>231.40000000000003</v>
      </c>
      <c r="E69" s="309">
        <f t="shared" si="8"/>
        <v>0.42024182164119583</v>
      </c>
      <c r="F69" s="253">
        <f>F56+F57+F58+F59+F60+F61</f>
        <v>162.93</v>
      </c>
      <c r="G69" s="309">
        <f t="shared" si="10"/>
        <v>-0.24621790423317136</v>
      </c>
      <c r="H69" s="253">
        <f>H56+H57+H58+H59+H60+H61</f>
        <v>216.15</v>
      </c>
      <c r="I69" s="269">
        <f t="shared" si="9"/>
        <v>-0.35839591558075334</v>
      </c>
      <c r="J69" s="84">
        <f>J56+J57+J58+J59+J60+J61</f>
        <v>336.89</v>
      </c>
      <c r="K69" s="4"/>
      <c r="L69" s="4"/>
    </row>
    <row r="70" spans="1:12" s="6" customFormat="1" ht="10">
      <c r="A70" s="70" t="s">
        <v>109</v>
      </c>
      <c r="B70" s="181">
        <f>B62+B63+B64+B65</f>
        <v>1043.97</v>
      </c>
      <c r="C70" s="309">
        <f t="shared" si="7"/>
        <v>-1.8071252366474999E-3</v>
      </c>
      <c r="D70" s="84">
        <f>D62+D63+D64+D65</f>
        <v>1045.8600000000001</v>
      </c>
      <c r="E70" s="309">
        <f t="shared" si="8"/>
        <v>0.30347973478239232</v>
      </c>
      <c r="F70" s="253">
        <f>F62+F63+F64+F65</f>
        <v>802.3599999999999</v>
      </c>
      <c r="G70" s="309">
        <f t="shared" si="10"/>
        <v>5.7810707835097563E-2</v>
      </c>
      <c r="H70" s="253">
        <f>H62+H63+H64+H65</f>
        <v>758.51</v>
      </c>
      <c r="I70" s="269">
        <f t="shared" si="9"/>
        <v>1.7628828635442684E-2</v>
      </c>
      <c r="J70" s="84">
        <f>J62+J63+J64+J65</f>
        <v>745.37</v>
      </c>
      <c r="K70" s="8"/>
      <c r="L70" s="8"/>
    </row>
    <row r="71" spans="1:12" s="60" customFormat="1" ht="10.4" customHeight="1">
      <c r="A71" s="74" t="s">
        <v>113</v>
      </c>
      <c r="B71" s="251">
        <f>SUM(B66:B70)</f>
        <v>3450.5699999999997</v>
      </c>
      <c r="C71" s="308">
        <f t="shared" si="7"/>
        <v>-7.7461700933080357E-2</v>
      </c>
      <c r="D71" s="87">
        <f>SUM(D66:D70)</f>
        <v>3740.3</v>
      </c>
      <c r="E71" s="308">
        <f t="shared" si="8"/>
        <v>9.8947269452597908E-2</v>
      </c>
      <c r="F71" s="251">
        <f>SUM(F66:F70)</f>
        <v>3403.5299999999997</v>
      </c>
      <c r="G71" s="308">
        <f t="shared" si="10"/>
        <v>7.8810988655705794E-2</v>
      </c>
      <c r="H71" s="251">
        <f>SUM(H66:H70)</f>
        <v>3154.8900000000003</v>
      </c>
      <c r="I71" s="279">
        <f t="shared" si="9"/>
        <v>-2.9297469931786724E-2</v>
      </c>
      <c r="J71" s="87">
        <f>SUM(J66:J70)</f>
        <v>3250.1099999999997</v>
      </c>
    </row>
    <row r="72" spans="1:12" ht="10.4" customHeight="1">
      <c r="A72" s="66"/>
      <c r="B72" s="70"/>
      <c r="C72" s="309"/>
      <c r="D72" s="70"/>
      <c r="E72" s="309"/>
      <c r="F72" s="70"/>
      <c r="G72" s="309"/>
      <c r="H72" s="70"/>
      <c r="I72" s="70"/>
      <c r="J72" s="70"/>
    </row>
    <row r="73" spans="1:12" ht="10.4" customHeight="1">
      <c r="A73" s="88" t="s">
        <v>2</v>
      </c>
      <c r="B73" s="252"/>
      <c r="C73" s="309"/>
      <c r="D73" s="89"/>
      <c r="E73" s="309"/>
      <c r="F73" s="89"/>
      <c r="G73" s="309"/>
      <c r="H73" s="89"/>
      <c r="I73" s="89"/>
      <c r="J73" s="89"/>
    </row>
    <row r="74" spans="1:12" s="2" customFormat="1" ht="10.5">
      <c r="A74" s="66" t="s">
        <v>86</v>
      </c>
      <c r="B74" s="252">
        <v>851.34</v>
      </c>
      <c r="C74" s="309">
        <f t="shared" ref="C74:C95" si="11">IF((+B74/D74)&lt;0,"n.m.",IF(B74&lt;0,(+B74/D74-1)*-1,(+B74/D74-1)))</f>
        <v>-0.17490623273664718</v>
      </c>
      <c r="D74" s="252">
        <v>1031.81</v>
      </c>
      <c r="E74" s="309">
        <f t="shared" si="8"/>
        <v>-1.4074951745752684E-2</v>
      </c>
      <c r="F74" s="252">
        <v>1046.54</v>
      </c>
      <c r="G74" s="309">
        <f t="shared" si="10"/>
        <v>-0.14901610017889089</v>
      </c>
      <c r="H74" s="252">
        <v>1229.8</v>
      </c>
      <c r="I74" s="269">
        <f t="shared" ref="I74:I101" si="12">IF((+H74/J74)&lt;0,"n.m.",IF(H74&lt;0,(+H74/J74-1)*-1,(+H74/J74-1)))</f>
        <v>5.8466093452796075E-2</v>
      </c>
      <c r="J74" s="83">
        <v>1161.8699999999999</v>
      </c>
      <c r="K74" s="4"/>
      <c r="L74" s="4"/>
    </row>
    <row r="75" spans="1:12" s="2" customFormat="1" ht="10.5">
      <c r="A75" s="66" t="s">
        <v>87</v>
      </c>
      <c r="B75" s="252">
        <v>299.25</v>
      </c>
      <c r="C75" s="309">
        <f t="shared" si="11"/>
        <v>-0.24883277272955473</v>
      </c>
      <c r="D75" s="252">
        <v>398.38</v>
      </c>
      <c r="E75" s="309">
        <f t="shared" si="8"/>
        <v>-0.36503028371055146</v>
      </c>
      <c r="F75" s="252">
        <v>627.4</v>
      </c>
      <c r="G75" s="309">
        <f t="shared" si="10"/>
        <v>9.0997617681325638E-2</v>
      </c>
      <c r="H75" s="252">
        <v>575.07000000000005</v>
      </c>
      <c r="I75" s="269">
        <f t="shared" si="12"/>
        <v>0.13830166270783861</v>
      </c>
      <c r="J75" s="83">
        <v>505.2</v>
      </c>
      <c r="K75" s="4"/>
      <c r="L75" s="4"/>
    </row>
    <row r="76" spans="1:12" s="2" customFormat="1" ht="10.5">
      <c r="A76" s="66" t="s">
        <v>88</v>
      </c>
      <c r="B76" s="252">
        <v>42.97</v>
      </c>
      <c r="C76" s="309">
        <f t="shared" si="11"/>
        <v>1.4852515905147481</v>
      </c>
      <c r="D76" s="252">
        <v>17.290000000000003</v>
      </c>
      <c r="E76" s="309">
        <f t="shared" si="8"/>
        <v>-0.18366383380547668</v>
      </c>
      <c r="F76" s="252">
        <v>21.18</v>
      </c>
      <c r="G76" s="309">
        <f t="shared" si="10"/>
        <v>8.0061193268740505E-2</v>
      </c>
      <c r="H76" s="252">
        <v>19.61</v>
      </c>
      <c r="I76" s="269">
        <f t="shared" si="12"/>
        <v>-0.54416550441655054</v>
      </c>
      <c r="J76" s="83">
        <v>43.02</v>
      </c>
      <c r="K76" s="4"/>
      <c r="L76" s="4"/>
    </row>
    <row r="77" spans="1:12" s="2" customFormat="1" ht="10.5">
      <c r="A77" s="66" t="s">
        <v>89</v>
      </c>
      <c r="B77" s="252">
        <v>16.05</v>
      </c>
      <c r="C77" s="309">
        <f t="shared" si="11"/>
        <v>-6.2266500622654153E-4</v>
      </c>
      <c r="D77" s="252">
        <v>16.059999999999999</v>
      </c>
      <c r="E77" s="309">
        <f t="shared" si="8"/>
        <v>0.29307568438003218</v>
      </c>
      <c r="F77" s="252">
        <v>12.42</v>
      </c>
      <c r="G77" s="309">
        <f t="shared" si="10"/>
        <v>-0.14989733059548249</v>
      </c>
      <c r="H77" s="252">
        <v>14.61</v>
      </c>
      <c r="I77" s="269">
        <f t="shared" si="12"/>
        <v>0.4757575757575756</v>
      </c>
      <c r="J77" s="83">
        <v>9.9</v>
      </c>
      <c r="K77" s="4"/>
      <c r="L77" s="4"/>
    </row>
    <row r="78" spans="1:12" s="6" customFormat="1" ht="10">
      <c r="A78" s="66" t="s">
        <v>90</v>
      </c>
      <c r="B78" s="252">
        <v>31.26</v>
      </c>
      <c r="C78" s="309">
        <f t="shared" si="11"/>
        <v>-9.154315605928498E-2</v>
      </c>
      <c r="D78" s="252">
        <v>34.409999999999997</v>
      </c>
      <c r="E78" s="309">
        <f t="shared" si="8"/>
        <v>-5.5967078189300579E-2</v>
      </c>
      <c r="F78" s="252">
        <v>36.450000000000003</v>
      </c>
      <c r="G78" s="309">
        <f t="shared" si="10"/>
        <v>1.618534482758621</v>
      </c>
      <c r="H78" s="252">
        <v>13.92</v>
      </c>
      <c r="I78" s="269">
        <f t="shared" si="12"/>
        <v>-0.21133144475920673</v>
      </c>
      <c r="J78" s="83">
        <v>17.649999999999999</v>
      </c>
      <c r="K78" s="8"/>
      <c r="L78" s="8"/>
    </row>
    <row r="79" spans="1:12" s="6" customFormat="1" ht="10">
      <c r="A79" s="66" t="s">
        <v>132</v>
      </c>
      <c r="B79" s="252">
        <v>0.52</v>
      </c>
      <c r="C79" s="309"/>
      <c r="D79" s="252">
        <v>0</v>
      </c>
      <c r="E79" s="309">
        <f t="shared" si="8"/>
        <v>-1</v>
      </c>
      <c r="F79" s="252">
        <v>15.42</v>
      </c>
      <c r="G79" s="309">
        <f t="shared" si="10"/>
        <v>-0.4233358264771877</v>
      </c>
      <c r="H79" s="252">
        <v>26.74</v>
      </c>
      <c r="I79" s="269">
        <f t="shared" si="12"/>
        <v>-0.59789473684210526</v>
      </c>
      <c r="J79" s="83">
        <v>66.5</v>
      </c>
      <c r="K79" s="8"/>
      <c r="L79" s="8"/>
    </row>
    <row r="80" spans="1:12" s="6" customFormat="1" ht="10">
      <c r="A80" s="66" t="s">
        <v>91</v>
      </c>
      <c r="B80" s="252">
        <v>8.83</v>
      </c>
      <c r="C80" s="309">
        <f t="shared" si="11"/>
        <v>-0.30907668231611884</v>
      </c>
      <c r="D80" s="252">
        <v>12.78</v>
      </c>
      <c r="E80" s="309">
        <f t="shared" si="8"/>
        <v>-0.38646183389342292</v>
      </c>
      <c r="F80" s="252">
        <v>20.83</v>
      </c>
      <c r="G80" s="309">
        <f t="shared" si="10"/>
        <v>0.23840665873959566</v>
      </c>
      <c r="H80" s="252">
        <v>16.82</v>
      </c>
      <c r="I80" s="269">
        <f t="shared" si="12"/>
        <v>0.35974130962004858</v>
      </c>
      <c r="J80" s="83">
        <v>12.37</v>
      </c>
      <c r="K80" s="8"/>
      <c r="L80" s="8"/>
    </row>
    <row r="81" spans="1:12" s="6" customFormat="1" ht="10">
      <c r="A81" s="66" t="s">
        <v>92</v>
      </c>
      <c r="B81" s="252">
        <v>6.68</v>
      </c>
      <c r="C81" s="309">
        <f t="shared" si="11"/>
        <v>0.44902386117136639</v>
      </c>
      <c r="D81" s="252">
        <v>4.6100000000000003</v>
      </c>
      <c r="E81" s="309">
        <f t="shared" si="8"/>
        <v>-0.45764705882352941</v>
      </c>
      <c r="F81" s="252">
        <v>8.5</v>
      </c>
      <c r="G81" s="309">
        <f t="shared" si="10"/>
        <v>-7.2052401746724892E-2</v>
      </c>
      <c r="H81" s="252">
        <v>9.16</v>
      </c>
      <c r="I81" s="269">
        <f t="shared" si="12"/>
        <v>1.0818181818181816</v>
      </c>
      <c r="J81" s="83">
        <v>4.4000000000000004</v>
      </c>
      <c r="K81" s="8"/>
      <c r="L81" s="8"/>
    </row>
    <row r="82" spans="1:12" s="6" customFormat="1" ht="10">
      <c r="A82" s="66" t="s">
        <v>93</v>
      </c>
      <c r="B82" s="252">
        <v>2.68</v>
      </c>
      <c r="C82" s="309">
        <f t="shared" si="11"/>
        <v>-0.49718574108818014</v>
      </c>
      <c r="D82" s="252">
        <v>5.33</v>
      </c>
      <c r="E82" s="309">
        <f t="shared" si="8"/>
        <v>2.4836601307189543</v>
      </c>
      <c r="F82" s="252">
        <v>1.53</v>
      </c>
      <c r="G82" s="309">
        <f t="shared" si="10"/>
        <v>-0.16393442622950827</v>
      </c>
      <c r="H82" s="252">
        <v>1.83</v>
      </c>
      <c r="I82" s="269">
        <f t="shared" si="12"/>
        <v>1.1049723756906049E-2</v>
      </c>
      <c r="J82" s="83">
        <v>1.81</v>
      </c>
      <c r="K82" s="8"/>
      <c r="L82" s="8"/>
    </row>
    <row r="83" spans="1:12" s="6" customFormat="1" ht="10">
      <c r="A83" s="66" t="s">
        <v>94</v>
      </c>
      <c r="B83" s="252">
        <v>0.05</v>
      </c>
      <c r="C83" s="309">
        <f t="shared" si="11"/>
        <v>0</v>
      </c>
      <c r="D83" s="252">
        <v>0.05</v>
      </c>
      <c r="E83" s="309">
        <f t="shared" si="8"/>
        <v>-0.8529411764705882</v>
      </c>
      <c r="F83" s="252">
        <v>0.34</v>
      </c>
      <c r="G83" s="309">
        <f t="shared" si="10"/>
        <v>2.4</v>
      </c>
      <c r="H83" s="252">
        <v>0.1</v>
      </c>
      <c r="I83" s="269"/>
      <c r="J83" s="83">
        <v>0</v>
      </c>
      <c r="K83" s="8"/>
      <c r="L83" s="8"/>
    </row>
    <row r="84" spans="1:12" s="6" customFormat="1" ht="10">
      <c r="A84" s="66" t="s">
        <v>95</v>
      </c>
      <c r="B84" s="252">
        <v>0</v>
      </c>
      <c r="C84" s="309"/>
      <c r="D84" s="252">
        <v>0</v>
      </c>
      <c r="E84" s="309"/>
      <c r="F84" s="252">
        <v>0</v>
      </c>
      <c r="G84" s="309">
        <f t="shared" si="10"/>
        <v>-1</v>
      </c>
      <c r="H84" s="252">
        <v>1.9</v>
      </c>
      <c r="I84" s="269">
        <f t="shared" si="12"/>
        <v>9.8265895953757232E-2</v>
      </c>
      <c r="J84" s="83">
        <v>1.73</v>
      </c>
      <c r="K84" s="8"/>
      <c r="L84" s="8"/>
    </row>
    <row r="85" spans="1:12" s="6" customFormat="1" ht="10">
      <c r="A85" s="66" t="s">
        <v>96</v>
      </c>
      <c r="B85" s="252">
        <v>0</v>
      </c>
      <c r="C85" s="309"/>
      <c r="D85" s="252">
        <v>0</v>
      </c>
      <c r="E85" s="309">
        <f t="shared" si="8"/>
        <v>-1</v>
      </c>
      <c r="F85" s="252">
        <v>0.14000000000000001</v>
      </c>
      <c r="G85" s="309"/>
      <c r="H85" s="252">
        <v>0</v>
      </c>
      <c r="I85" s="269"/>
      <c r="J85" s="83">
        <v>0</v>
      </c>
      <c r="K85" s="8"/>
      <c r="L85" s="8"/>
    </row>
    <row r="86" spans="1:12" s="6" customFormat="1" ht="10">
      <c r="A86" s="66" t="s">
        <v>97</v>
      </c>
      <c r="B86" s="252">
        <v>1.6</v>
      </c>
      <c r="C86" s="309">
        <f t="shared" si="11"/>
        <v>0.22137404580152675</v>
      </c>
      <c r="D86" s="252">
        <v>1.31</v>
      </c>
      <c r="E86" s="309">
        <f t="shared" si="8"/>
        <v>-0.71459694989106759</v>
      </c>
      <c r="F86" s="252">
        <v>4.59</v>
      </c>
      <c r="G86" s="309">
        <f t="shared" si="10"/>
        <v>-0.45872641509433965</v>
      </c>
      <c r="H86" s="252">
        <v>8.48</v>
      </c>
      <c r="I86" s="269">
        <f t="shared" si="12"/>
        <v>-0.68263473053892221</v>
      </c>
      <c r="J86" s="83">
        <v>26.72</v>
      </c>
      <c r="K86" s="8"/>
      <c r="L86" s="8"/>
    </row>
    <row r="87" spans="1:12" s="6" customFormat="1" ht="10">
      <c r="A87" s="66" t="s">
        <v>98</v>
      </c>
      <c r="B87" s="252">
        <v>14.07</v>
      </c>
      <c r="C87" s="309">
        <f t="shared" si="11"/>
        <v>2.0193133047210301</v>
      </c>
      <c r="D87" s="181">
        <v>4.66</v>
      </c>
      <c r="E87" s="309">
        <f t="shared" si="8"/>
        <v>-0.34087694483734088</v>
      </c>
      <c r="F87" s="253">
        <v>7.07</v>
      </c>
      <c r="G87" s="309">
        <f t="shared" si="10"/>
        <v>-0.19107551487414187</v>
      </c>
      <c r="H87" s="253">
        <v>8.74</v>
      </c>
      <c r="I87" s="269">
        <f t="shared" si="12"/>
        <v>-0.46836982968369834</v>
      </c>
      <c r="J87" s="84">
        <v>16.440000000000001</v>
      </c>
      <c r="K87" s="8"/>
      <c r="L87" s="8"/>
    </row>
    <row r="88" spans="1:12" s="6" customFormat="1" ht="10">
      <c r="A88" s="66" t="s">
        <v>99</v>
      </c>
      <c r="B88" s="252">
        <v>36.369999999999997</v>
      </c>
      <c r="C88" s="309">
        <f t="shared" si="11"/>
        <v>-0.33278297560080716</v>
      </c>
      <c r="D88" s="252">
        <v>54.51</v>
      </c>
      <c r="E88" s="309">
        <f t="shared" si="8"/>
        <v>-6.0010346611484855E-2</v>
      </c>
      <c r="F88" s="252">
        <v>57.99</v>
      </c>
      <c r="G88" s="309">
        <f t="shared" si="10"/>
        <v>2.3991793669402113</v>
      </c>
      <c r="H88" s="252">
        <v>17.059999999999999</v>
      </c>
      <c r="I88" s="269">
        <f t="shared" si="12"/>
        <v>-0.22242479489516875</v>
      </c>
      <c r="J88" s="83">
        <v>21.94</v>
      </c>
      <c r="K88" s="8"/>
      <c r="L88" s="8"/>
    </row>
    <row r="89" spans="1:12" s="2" customFormat="1" ht="10.5">
      <c r="A89" s="66" t="s">
        <v>100</v>
      </c>
      <c r="B89" s="252">
        <v>108.77</v>
      </c>
      <c r="C89" s="309">
        <f t="shared" si="11"/>
        <v>1.8064395357543894E-2</v>
      </c>
      <c r="D89" s="252">
        <v>106.84</v>
      </c>
      <c r="E89" s="309">
        <f t="shared" si="8"/>
        <v>-0.59101175209585421</v>
      </c>
      <c r="F89" s="252">
        <v>261.23</v>
      </c>
      <c r="G89" s="309">
        <f t="shared" si="10"/>
        <v>-0.72839750054584584</v>
      </c>
      <c r="H89" s="252">
        <v>961.81</v>
      </c>
      <c r="I89" s="269">
        <f t="shared" si="12"/>
        <v>-4.7005201882586167E-2</v>
      </c>
      <c r="J89" s="83">
        <v>1009.25</v>
      </c>
      <c r="K89" s="4"/>
      <c r="L89" s="4"/>
    </row>
    <row r="90" spans="1:12" s="6" customFormat="1" ht="10">
      <c r="A90" s="66" t="s">
        <v>101</v>
      </c>
      <c r="B90" s="252">
        <v>0.3</v>
      </c>
      <c r="C90" s="309">
        <f t="shared" si="11"/>
        <v>-0.8936170212765957</v>
      </c>
      <c r="D90" s="252">
        <v>2.82</v>
      </c>
      <c r="E90" s="309">
        <f t="shared" si="8"/>
        <v>-0.57207890743550838</v>
      </c>
      <c r="F90" s="252">
        <v>6.59</v>
      </c>
      <c r="G90" s="309">
        <f t="shared" si="10"/>
        <v>-0.41989436619718312</v>
      </c>
      <c r="H90" s="252">
        <v>11.36</v>
      </c>
      <c r="I90" s="269">
        <f t="shared" si="12"/>
        <v>-0.39153722549544734</v>
      </c>
      <c r="J90" s="83">
        <v>18.670000000000002</v>
      </c>
      <c r="K90" s="8"/>
      <c r="L90" s="8"/>
    </row>
    <row r="91" spans="1:12" s="6" customFormat="1" ht="10">
      <c r="A91" s="66" t="s">
        <v>102</v>
      </c>
      <c r="B91" s="252">
        <v>883.56000000000006</v>
      </c>
      <c r="C91" s="309">
        <f t="shared" si="11"/>
        <v>2.0036714713081314</v>
      </c>
      <c r="D91" s="252">
        <v>294.16000000000003</v>
      </c>
      <c r="E91" s="309">
        <f t="shared" si="8"/>
        <v>3.7652681030293218</v>
      </c>
      <c r="F91" s="252">
        <v>61.73</v>
      </c>
      <c r="G91" s="309">
        <f t="shared" si="10"/>
        <v>-0.25428847547716849</v>
      </c>
      <c r="H91" s="252">
        <v>82.78</v>
      </c>
      <c r="I91" s="269">
        <f t="shared" si="12"/>
        <v>0.19520646838001721</v>
      </c>
      <c r="J91" s="83">
        <v>69.260000000000005</v>
      </c>
      <c r="K91" s="8"/>
      <c r="L91" s="8"/>
    </row>
    <row r="92" spans="1:12" s="6" customFormat="1" ht="10">
      <c r="A92" s="66" t="s">
        <v>103</v>
      </c>
      <c r="B92" s="252">
        <v>275.99</v>
      </c>
      <c r="C92" s="309">
        <f t="shared" si="11"/>
        <v>0.61133815973843997</v>
      </c>
      <c r="D92" s="252">
        <v>171.28</v>
      </c>
      <c r="E92" s="309">
        <f t="shared" si="8"/>
        <v>-0.46858614377462693</v>
      </c>
      <c r="F92" s="252">
        <v>322.31</v>
      </c>
      <c r="G92" s="309">
        <f t="shared" si="10"/>
        <v>-0.18889196466769009</v>
      </c>
      <c r="H92" s="252">
        <v>397.37</v>
      </c>
      <c r="I92" s="269">
        <f t="shared" si="12"/>
        <v>-0.19505327553376817</v>
      </c>
      <c r="J92" s="83">
        <v>493.66</v>
      </c>
      <c r="K92" s="8"/>
      <c r="L92" s="8"/>
    </row>
    <row r="93" spans="1:12" s="6" customFormat="1" ht="10">
      <c r="A93" s="66" t="s">
        <v>104</v>
      </c>
      <c r="B93" s="252">
        <v>1055.8499999999999</v>
      </c>
      <c r="C93" s="309">
        <f t="shared" si="11"/>
        <v>-5.6341552788924942E-2</v>
      </c>
      <c r="D93" s="252">
        <v>1118.8900000000001</v>
      </c>
      <c r="E93" s="309">
        <f t="shared" si="8"/>
        <v>0.42748335076930921</v>
      </c>
      <c r="F93" s="252">
        <v>783.82</v>
      </c>
      <c r="G93" s="309">
        <f t="shared" si="10"/>
        <v>0.14286130876006076</v>
      </c>
      <c r="H93" s="252">
        <v>685.84</v>
      </c>
      <c r="I93" s="269">
        <f t="shared" si="12"/>
        <v>0.51245975389229503</v>
      </c>
      <c r="J93" s="83">
        <v>453.46</v>
      </c>
      <c r="K93" s="8"/>
      <c r="L93" s="8"/>
    </row>
    <row r="94" spans="1:12" s="6" customFormat="1" ht="10">
      <c r="A94" s="66" t="s">
        <v>105</v>
      </c>
      <c r="B94" s="252">
        <v>69.31</v>
      </c>
      <c r="C94" s="309">
        <f t="shared" si="11"/>
        <v>-0.44230769230769229</v>
      </c>
      <c r="D94" s="254">
        <v>124.28</v>
      </c>
      <c r="E94" s="309">
        <f t="shared" si="8"/>
        <v>-0.14395922303347575</v>
      </c>
      <c r="F94" s="254">
        <v>145.18</v>
      </c>
      <c r="G94" s="309">
        <f t="shared" si="10"/>
        <v>2.3382386755575992</v>
      </c>
      <c r="H94" s="254">
        <v>43.49</v>
      </c>
      <c r="I94" s="269">
        <f t="shared" si="12"/>
        <v>-0.26437753721244917</v>
      </c>
      <c r="J94" s="85">
        <v>59.12</v>
      </c>
      <c r="K94" s="8"/>
      <c r="L94" s="8"/>
    </row>
    <row r="95" spans="1:12" s="6" customFormat="1" ht="10">
      <c r="A95" s="66" t="s">
        <v>106</v>
      </c>
      <c r="B95" s="252">
        <v>405.32</v>
      </c>
      <c r="C95" s="309">
        <f t="shared" si="11"/>
        <v>5.8442575860448098E-2</v>
      </c>
      <c r="D95" s="254">
        <v>382.94</v>
      </c>
      <c r="E95" s="309">
        <f t="shared" si="8"/>
        <v>-0.23788484884669725</v>
      </c>
      <c r="F95" s="254">
        <v>502.46999999999997</v>
      </c>
      <c r="G95" s="309">
        <f t="shared" si="10"/>
        <v>1.9823717948717947</v>
      </c>
      <c r="H95" s="254">
        <v>168.48</v>
      </c>
      <c r="I95" s="269">
        <f t="shared" si="12"/>
        <v>-0.3526473526473527</v>
      </c>
      <c r="J95" s="85">
        <v>260.26</v>
      </c>
      <c r="K95" s="8"/>
      <c r="L95" s="8"/>
    </row>
    <row r="96" spans="1:12" s="6" customFormat="1" ht="10">
      <c r="A96" s="70" t="s">
        <v>86</v>
      </c>
      <c r="B96" s="252">
        <f>B74</f>
        <v>851.34</v>
      </c>
      <c r="C96" s="309">
        <f t="shared" ref="C96:C101" si="13">IF((+B96/D96)&lt;0,"n.m.",IF(B96&lt;0,(+B96/D96-1)*-1,(+B96/D96-1)))</f>
        <v>-0.17490623273664718</v>
      </c>
      <c r="D96" s="182">
        <f>D74</f>
        <v>1031.81</v>
      </c>
      <c r="E96" s="309">
        <f t="shared" si="8"/>
        <v>-1.4074951745752684E-2</v>
      </c>
      <c r="F96" s="347">
        <f>F74</f>
        <v>1046.54</v>
      </c>
      <c r="G96" s="309">
        <f t="shared" si="10"/>
        <v>-0.14901610017889089</v>
      </c>
      <c r="H96" s="347">
        <f>H74</f>
        <v>1229.8</v>
      </c>
      <c r="I96" s="269">
        <f t="shared" si="12"/>
        <v>5.8466093452796075E-2</v>
      </c>
      <c r="J96" s="86">
        <f>J74</f>
        <v>1161.8699999999999</v>
      </c>
      <c r="K96" s="8"/>
      <c r="L96" s="8"/>
    </row>
    <row r="97" spans="1:12" s="6" customFormat="1" ht="10">
      <c r="A97" s="70" t="s">
        <v>87</v>
      </c>
      <c r="B97" s="252">
        <f>B75</f>
        <v>299.25</v>
      </c>
      <c r="C97" s="309">
        <f t="shared" si="13"/>
        <v>-0.24883277272955473</v>
      </c>
      <c r="D97" s="86">
        <f>D75</f>
        <v>398.38</v>
      </c>
      <c r="E97" s="309">
        <f t="shared" si="8"/>
        <v>-0.36503028371055146</v>
      </c>
      <c r="F97" s="347">
        <f>F75</f>
        <v>627.4</v>
      </c>
      <c r="G97" s="309">
        <f t="shared" si="10"/>
        <v>9.0997617681325638E-2</v>
      </c>
      <c r="H97" s="347">
        <f>H75</f>
        <v>575.07000000000005</v>
      </c>
      <c r="I97" s="269">
        <f t="shared" si="12"/>
        <v>0.13830166270783861</v>
      </c>
      <c r="J97" s="86">
        <f>J75</f>
        <v>505.2</v>
      </c>
      <c r="K97" s="8"/>
      <c r="L97" s="8"/>
    </row>
    <row r="98" spans="1:12" s="2" customFormat="1" ht="10.5">
      <c r="A98" s="70" t="s">
        <v>107</v>
      </c>
      <c r="B98" s="252">
        <f>B76+B77+B78+B79+B80+B81+B82+B83+B84+B85</f>
        <v>109.04</v>
      </c>
      <c r="C98" s="309">
        <f t="shared" si="13"/>
        <v>0.20446260907986336</v>
      </c>
      <c r="D98" s="84">
        <f>D76+D77+D78+D79+D80+D81+D82+D83+D84+D85</f>
        <v>90.529999999999987</v>
      </c>
      <c r="E98" s="309">
        <f t="shared" si="8"/>
        <v>-0.22498073795051821</v>
      </c>
      <c r="F98" s="253">
        <f>F76+F77+F78+F79+F80+F81+F82+F83+F84+F85</f>
        <v>116.81000000000002</v>
      </c>
      <c r="G98" s="309">
        <f t="shared" si="10"/>
        <v>0.11577036966281429</v>
      </c>
      <c r="H98" s="253">
        <f>H76+H77+H78+H79+H80+H81+H82+H83+H84+H85</f>
        <v>104.68999999999998</v>
      </c>
      <c r="I98" s="269">
        <f t="shared" si="12"/>
        <v>-0.33479476426483679</v>
      </c>
      <c r="J98" s="84">
        <f>J76+J77+J78+J79+J80+J81+J82+J83+J84+J85</f>
        <v>157.38</v>
      </c>
      <c r="K98" s="4"/>
      <c r="L98" s="4"/>
    </row>
    <row r="99" spans="1:12" s="2" customFormat="1" ht="10.5">
      <c r="A99" s="70" t="s">
        <v>108</v>
      </c>
      <c r="B99" s="181">
        <f>B86+B87+B88+B89+B90+B91</f>
        <v>1044.67</v>
      </c>
      <c r="C99" s="309">
        <f t="shared" si="13"/>
        <v>1.2499892311005816</v>
      </c>
      <c r="D99" s="84">
        <f>D86+D87+D88+D89+D90+D91</f>
        <v>464.3</v>
      </c>
      <c r="E99" s="309">
        <f t="shared" si="8"/>
        <v>0.16307615230460937</v>
      </c>
      <c r="F99" s="253">
        <f>F86+F87+F88+F89+F90+F91</f>
        <v>399.2</v>
      </c>
      <c r="G99" s="309">
        <f t="shared" si="10"/>
        <v>-0.6338387312768865</v>
      </c>
      <c r="H99" s="253">
        <f>H86+H87+H88+H89+H90+H91</f>
        <v>1090.23</v>
      </c>
      <c r="I99" s="269">
        <f t="shared" si="12"/>
        <v>-6.1990226107306312E-2</v>
      </c>
      <c r="J99" s="84">
        <f>J86+J87+J88+J89+J90+J91</f>
        <v>1162.28</v>
      </c>
      <c r="K99" s="4"/>
      <c r="L99" s="4"/>
    </row>
    <row r="100" spans="1:12" s="6" customFormat="1" ht="10">
      <c r="A100" s="70" t="s">
        <v>109</v>
      </c>
      <c r="B100" s="144">
        <f>B92+B93+B94+B95</f>
        <v>1806.4699999999998</v>
      </c>
      <c r="C100" s="309">
        <f t="shared" si="13"/>
        <v>5.0517695102341165E-3</v>
      </c>
      <c r="D100" s="144">
        <f>D92+D93+D94+D95</f>
        <v>1797.39</v>
      </c>
      <c r="E100" s="309">
        <f t="shared" si="8"/>
        <v>2.4866288816157045E-2</v>
      </c>
      <c r="F100" s="144">
        <f>F92+F93+F94+F95</f>
        <v>1753.7800000000002</v>
      </c>
      <c r="G100" s="309">
        <f t="shared" si="10"/>
        <v>0.35408205809231164</v>
      </c>
      <c r="H100" s="144">
        <f>H92+H93+H94+H95</f>
        <v>1295.18</v>
      </c>
      <c r="I100" s="269">
        <f t="shared" si="12"/>
        <v>2.2645084879589383E-2</v>
      </c>
      <c r="J100" s="144">
        <f>J92+J93+J94+J95</f>
        <v>1266.5</v>
      </c>
      <c r="K100" s="8"/>
      <c r="L100" s="8"/>
    </row>
    <row r="101" spans="1:12" s="60" customFormat="1" ht="10.4" customHeight="1">
      <c r="A101" s="58" t="s">
        <v>114</v>
      </c>
      <c r="B101" s="268">
        <f>SUM(B96:B100)</f>
        <v>4110.7700000000004</v>
      </c>
      <c r="C101" s="308">
        <f t="shared" si="13"/>
        <v>8.6812376236315103E-2</v>
      </c>
      <c r="D101" s="268">
        <f>SUM(D96:D100)</f>
        <v>3782.41</v>
      </c>
      <c r="E101" s="308">
        <f t="shared" si="8"/>
        <v>-4.0905437238350495E-2</v>
      </c>
      <c r="F101" s="268">
        <f>SUM(F96:F100)</f>
        <v>3943.73</v>
      </c>
      <c r="G101" s="308">
        <f t="shared" si="10"/>
        <v>-8.1779383790806515E-2</v>
      </c>
      <c r="H101" s="268">
        <f>SUM(H96:H100)</f>
        <v>4294.97</v>
      </c>
      <c r="I101" s="145">
        <f t="shared" si="12"/>
        <v>9.8137180448742978E-3</v>
      </c>
      <c r="J101" s="268">
        <f>SUM(J96:J100)</f>
        <v>4253.2299999999996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&amp;A</oddHeader>
  </headerFooter>
  <rowBreaks count="2" manualBreakCount="2">
    <brk id="42" max="16383" man="1"/>
    <brk id="72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02"/>
  <sheetViews>
    <sheetView view="pageBreakPreview" zoomScale="115" zoomScaleNormal="100" zoomScaleSheetLayoutView="115" workbookViewId="0">
      <pane xSplit="1" ySplit="1" topLeftCell="B3" activePane="bottomRight" state="frozen"/>
      <selection activeCell="B72" sqref="B72"/>
      <selection pane="topRight" activeCell="B72" sqref="B72"/>
      <selection pane="bottomLeft" activeCell="B72" sqref="B72"/>
      <selection pane="bottomRight"/>
    </sheetView>
  </sheetViews>
  <sheetFormatPr baseColWidth="10" defaultColWidth="20.54296875" defaultRowHeight="12" customHeight="1" outlineLevelRow="1"/>
  <cols>
    <col min="1" max="1" width="20.54296875" style="57" customWidth="1"/>
    <col min="2" max="10" width="10.81640625" style="90" customWidth="1"/>
    <col min="11" max="16384" width="20.54296875" style="57"/>
  </cols>
  <sheetData>
    <row r="1" spans="1:24" s="56" customFormat="1" ht="24" customHeight="1">
      <c r="A1" s="91" t="s">
        <v>123</v>
      </c>
      <c r="B1" s="152">
        <v>2019</v>
      </c>
      <c r="C1" s="152" t="s">
        <v>156</v>
      </c>
      <c r="D1" s="152">
        <v>2018</v>
      </c>
      <c r="E1" s="152" t="s">
        <v>148</v>
      </c>
      <c r="F1" s="152">
        <v>2017</v>
      </c>
      <c r="G1" s="303" t="s">
        <v>136</v>
      </c>
      <c r="H1" s="152">
        <v>2016</v>
      </c>
      <c r="I1" s="152" t="s">
        <v>130</v>
      </c>
      <c r="J1" s="1">
        <v>2015</v>
      </c>
    </row>
    <row r="2" spans="1:24" ht="9.75" hidden="1" customHeight="1" outlineLevel="1">
      <c r="A2" s="113"/>
      <c r="B2" s="114"/>
      <c r="C2" s="114"/>
      <c r="D2" s="114"/>
      <c r="E2" s="114"/>
      <c r="F2" s="114"/>
      <c r="G2" s="114"/>
      <c r="H2" s="114"/>
      <c r="I2" s="114"/>
      <c r="J2" s="114"/>
    </row>
    <row r="3" spans="1:24" s="60" customFormat="1" ht="10.4" customHeight="1" collapsed="1">
      <c r="A3" s="115" t="s">
        <v>1</v>
      </c>
      <c r="B3" s="265">
        <f>B71</f>
        <v>144.68000000000004</v>
      </c>
      <c r="C3" s="310">
        <f>IF((+B3/D3)&lt;0,"n.m.",IF(B3&lt;0,(+B3/D3-1)*-1,(+B3/D3-1)))</f>
        <v>0.24896408839779016</v>
      </c>
      <c r="D3" s="265">
        <f>D71</f>
        <v>115.84000000000002</v>
      </c>
      <c r="E3" s="310">
        <f>IF((+D3/F3)&lt;0,"n.m.",IF(D3&lt;0,(+D3/F3-1)*-1,(+D3/F3-1)))</f>
        <v>-0.12507552870090621</v>
      </c>
      <c r="F3" s="272">
        <f>F71</f>
        <v>132.4</v>
      </c>
      <c r="G3" s="310">
        <f>IF((+F3/H3)&lt;0,"n.m.",IF(F3&lt;0,(+F3/H3-1)*-1,(+F3/H3-1)))</f>
        <v>-0.17379095163806546</v>
      </c>
      <c r="H3" s="255">
        <f>H71</f>
        <v>160.25</v>
      </c>
      <c r="I3" s="282">
        <f t="shared" ref="I3:I9" si="0">IF((+H3/J3)&lt;0,"n.m.",IF(H3&lt;0,(+H3/J3-1)*-1,(+H3/J3-1)))</f>
        <v>0.17727005583308841</v>
      </c>
      <c r="J3" s="116">
        <f>J71</f>
        <v>136.12</v>
      </c>
    </row>
    <row r="4" spans="1:24" s="60" customFormat="1" ht="10.4" customHeight="1">
      <c r="A4" s="115" t="s">
        <v>2</v>
      </c>
      <c r="B4" s="265">
        <f>B101</f>
        <v>3.68</v>
      </c>
      <c r="C4" s="282">
        <f t="shared" ref="C4:C7" si="1">IF((+B4/D4)&lt;0,"n.m.",IF(B4&lt;0,(+B4/D4-1)*-1,(+B4/D4-1)))</f>
        <v>0.71162790697674394</v>
      </c>
      <c r="D4" s="265">
        <f>D101</f>
        <v>2.1500000000000004</v>
      </c>
      <c r="E4" s="282">
        <f t="shared" ref="E4:E9" si="2">IF((+D4/F4)&lt;0,"n.m.",IF(D4&lt;0,(+D4/F4-1)*-1,(+D4/F4-1)))</f>
        <v>-0.59662288930581608</v>
      </c>
      <c r="F4" s="272">
        <f>F101</f>
        <v>5.3299999999999992</v>
      </c>
      <c r="G4" s="310">
        <f t="shared" ref="G4:G9" si="3">IF((+F4/H4)&lt;0,"n.m.",IF(F4&lt;0,(+F4/H4-1)*-1,(+F4/H4-1)))</f>
        <v>-0.31666666666666687</v>
      </c>
      <c r="H4" s="255">
        <f>H101</f>
        <v>7.8000000000000007</v>
      </c>
      <c r="I4" s="282">
        <f t="shared" si="0"/>
        <v>0.20930232558139528</v>
      </c>
      <c r="J4" s="116">
        <f>J101</f>
        <v>6.4500000000000011</v>
      </c>
    </row>
    <row r="5" spans="1:24" s="60" customFormat="1" ht="10.4" customHeight="1">
      <c r="A5" s="115" t="s">
        <v>3</v>
      </c>
      <c r="B5" s="265">
        <v>16.649999999999999</v>
      </c>
      <c r="C5" s="310">
        <f t="shared" si="1"/>
        <v>-0.15836829601172742</v>
      </c>
      <c r="D5" s="265">
        <v>19.783000000000001</v>
      </c>
      <c r="E5" s="310">
        <f t="shared" si="2"/>
        <v>-0.29747869318181819</v>
      </c>
      <c r="F5" s="272">
        <v>28.16</v>
      </c>
      <c r="G5" s="310">
        <f t="shared" si="3"/>
        <v>-1.1235955056179803E-2</v>
      </c>
      <c r="H5" s="257">
        <v>28.48</v>
      </c>
      <c r="I5" s="282">
        <f t="shared" si="0"/>
        <v>0.1324055666003976</v>
      </c>
      <c r="J5" s="116">
        <v>25.15</v>
      </c>
    </row>
    <row r="6" spans="1:24" s="60" customFormat="1" ht="10.4" customHeight="1">
      <c r="A6" s="115" t="s">
        <v>124</v>
      </c>
      <c r="B6" s="265">
        <v>0.87</v>
      </c>
      <c r="C6" s="310">
        <f t="shared" si="1"/>
        <v>1.1627906976744207E-2</v>
      </c>
      <c r="D6" s="265">
        <v>0.86</v>
      </c>
      <c r="E6" s="310">
        <f t="shared" si="2"/>
        <v>0.28358208955223874</v>
      </c>
      <c r="F6" s="272">
        <v>0.67</v>
      </c>
      <c r="G6" s="310">
        <f t="shared" si="3"/>
        <v>0.42553191489361719</v>
      </c>
      <c r="H6" s="257">
        <v>0.47</v>
      </c>
      <c r="I6" s="282">
        <f t="shared" si="0"/>
        <v>1.1363636363636362</v>
      </c>
      <c r="J6" s="116">
        <v>0.22</v>
      </c>
    </row>
    <row r="7" spans="1:24" s="60" customFormat="1" ht="10.4" customHeight="1">
      <c r="A7" s="115" t="s">
        <v>126</v>
      </c>
      <c r="B7" s="265">
        <v>-24.47</v>
      </c>
      <c r="C7" s="310">
        <f t="shared" si="1"/>
        <v>7.9140480939299374E-2</v>
      </c>
      <c r="D7" s="265">
        <v>-26.573</v>
      </c>
      <c r="E7" s="310">
        <f t="shared" si="2"/>
        <v>-3.891197582168493E-3</v>
      </c>
      <c r="F7" s="272">
        <v>-26.47</v>
      </c>
      <c r="G7" s="310">
        <f t="shared" si="3"/>
        <v>-6.9969788519637461</v>
      </c>
      <c r="H7" s="257">
        <v>-3.31</v>
      </c>
      <c r="I7" s="282">
        <f t="shared" si="0"/>
        <v>0.86322314049586779</v>
      </c>
      <c r="J7" s="116">
        <v>-24.2</v>
      </c>
    </row>
    <row r="8" spans="1:24" ht="10.4" customHeight="1">
      <c r="A8" s="117" t="s">
        <v>117</v>
      </c>
      <c r="B8" s="256">
        <f>B6/B5</f>
        <v>5.225225225225226E-2</v>
      </c>
      <c r="C8" s="310"/>
      <c r="D8" s="256">
        <f>D6/D5</f>
        <v>4.3471667593388261E-2</v>
      </c>
      <c r="E8" s="310"/>
      <c r="F8" s="256">
        <f>F6/F5</f>
        <v>2.3792613636363636E-2</v>
      </c>
      <c r="G8" s="281"/>
      <c r="H8" s="256">
        <f>H6/H5</f>
        <v>1.6502808988764044E-2</v>
      </c>
      <c r="I8" s="282"/>
      <c r="J8" s="118">
        <f>J6/J5</f>
        <v>8.7475149105367793E-3</v>
      </c>
    </row>
    <row r="9" spans="1:24" s="119" customFormat="1" ht="10.4" customHeight="1" thickBot="1">
      <c r="A9" s="424" t="s">
        <v>128</v>
      </c>
      <c r="B9" s="258">
        <f>-12.94-1.49</f>
        <v>-14.43</v>
      </c>
      <c r="C9" s="258" t="str">
        <f t="shared" ref="C9" si="4">IF((+B9/D9)&lt;0,"n.m.",IF(B9&lt;0,(+B9/D9-1)*-1,(+B9/D9-1)))</f>
        <v>n.m.</v>
      </c>
      <c r="D9" s="258">
        <v>55.24</v>
      </c>
      <c r="E9" s="258" t="str">
        <f t="shared" si="2"/>
        <v>n.m.</v>
      </c>
      <c r="F9" s="258">
        <f>-14.32-4.25</f>
        <v>-18.57</v>
      </c>
      <c r="G9" s="258" t="str">
        <f t="shared" si="3"/>
        <v>n.m.</v>
      </c>
      <c r="H9" s="258">
        <v>17.68</v>
      </c>
      <c r="I9" s="283" t="str">
        <f t="shared" si="0"/>
        <v>n.m.</v>
      </c>
      <c r="J9" s="150">
        <v>-8.19</v>
      </c>
    </row>
    <row r="10" spans="1:24" ht="37.5" customHeight="1" thickBot="1">
      <c r="A10" s="425"/>
      <c r="B10" s="272"/>
      <c r="C10" s="281"/>
      <c r="D10" s="272"/>
      <c r="E10" s="281"/>
      <c r="F10" s="272"/>
      <c r="G10" s="281"/>
      <c r="H10" s="120"/>
      <c r="I10" s="349" t="s">
        <v>125</v>
      </c>
      <c r="J10" s="350">
        <f>Group!B26-'North + West'!B6-'South + East'!B6-'Intern.+ Special Divisions'!B6-Other!B6-Other!B9</f>
        <v>-7.4074080202990444E-13</v>
      </c>
    </row>
    <row r="11" spans="1:24" ht="10.4" customHeight="1">
      <c r="A11" s="117"/>
      <c r="B11" s="272"/>
      <c r="C11" s="281"/>
      <c r="D11" s="272"/>
      <c r="E11" s="281"/>
      <c r="F11" s="272"/>
      <c r="G11" s="281"/>
      <c r="H11" s="121"/>
      <c r="I11" s="121"/>
      <c r="J11" s="121"/>
    </row>
    <row r="12" spans="1:24" s="60" customFormat="1" ht="10.4" customHeight="1">
      <c r="A12" s="115" t="s">
        <v>85</v>
      </c>
      <c r="B12" s="122"/>
      <c r="C12" s="281"/>
      <c r="D12" s="122"/>
      <c r="E12" s="281"/>
      <c r="F12" s="122"/>
      <c r="G12" s="281"/>
      <c r="H12" s="122"/>
      <c r="I12" s="122"/>
      <c r="J12" s="122"/>
    </row>
    <row r="13" spans="1:24" s="2" customFormat="1" ht="10.5">
      <c r="A13" s="123" t="s">
        <v>86</v>
      </c>
      <c r="B13" s="273">
        <v>2616</v>
      </c>
      <c r="C13" s="311">
        <f t="shared" ref="C13:C32" si="5">IF((+B13/D13)&lt;0,"n.m.",IF(B13&lt;0,(+B13/D13-1)*-1,(+B13/D13-1)))</f>
        <v>2.1475985942990938E-2</v>
      </c>
      <c r="D13" s="273">
        <v>2561</v>
      </c>
      <c r="E13" s="311">
        <f t="shared" ref="E13:E40" si="6">IF((+D13/F13)&lt;0,"n.m.",IF(D13&lt;0,(+D13/F13-1)*-1,(+D13/F13-1)))</f>
        <v>3.1829170024173958E-2</v>
      </c>
      <c r="F13" s="273">
        <v>2482</v>
      </c>
      <c r="G13" s="311">
        <f t="shared" ref="G13:G76" si="7">IF((+F13/H13)&lt;0,"n.m.",IF(F13&lt;0,(+F13/H13-1)*-1,(+F13/H13-1)))</f>
        <v>3.9798910766652762E-2</v>
      </c>
      <c r="H13" s="259">
        <v>2387</v>
      </c>
      <c r="I13" s="281">
        <f t="shared" ref="I13:I40" si="8">IF((+H13/J13)&lt;0,"n.m.",IF(H13&lt;0,(+H13/J13-1)*-1,(+H13/J13-1)))</f>
        <v>1.2728044123886395E-2</v>
      </c>
      <c r="J13" s="124">
        <v>2357</v>
      </c>
      <c r="K13" s="17"/>
      <c r="L13" s="68"/>
      <c r="M13" s="39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s="2" customFormat="1" ht="10.5">
      <c r="A14" s="123" t="s">
        <v>87</v>
      </c>
      <c r="B14" s="273">
        <v>1242</v>
      </c>
      <c r="C14" s="311">
        <f t="shared" si="5"/>
        <v>2.2222222222222143E-2</v>
      </c>
      <c r="D14" s="273">
        <v>1215</v>
      </c>
      <c r="E14" s="311">
        <f t="shared" si="6"/>
        <v>3.7574722459436272E-2</v>
      </c>
      <c r="F14" s="273">
        <v>1171</v>
      </c>
      <c r="G14" s="311">
        <f t="shared" si="7"/>
        <v>1.5611448395490113E-2</v>
      </c>
      <c r="H14" s="259">
        <v>1153</v>
      </c>
      <c r="I14" s="281">
        <f t="shared" si="8"/>
        <v>7.8671328671329199E-3</v>
      </c>
      <c r="J14" s="124">
        <v>1144</v>
      </c>
      <c r="K14" s="17"/>
      <c r="L14" s="68"/>
      <c r="M14" s="39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s="2" customFormat="1" ht="10.5">
      <c r="A15" s="123" t="s">
        <v>88</v>
      </c>
      <c r="B15" s="273">
        <v>713</v>
      </c>
      <c r="C15" s="311">
        <f t="shared" si="5"/>
        <v>0.11059190031152655</v>
      </c>
      <c r="D15" s="273">
        <v>642</v>
      </c>
      <c r="E15" s="311">
        <f t="shared" si="6"/>
        <v>3.7156704361873905E-2</v>
      </c>
      <c r="F15" s="273">
        <v>619</v>
      </c>
      <c r="G15" s="311">
        <f t="shared" si="7"/>
        <v>4.2087542087542174E-2</v>
      </c>
      <c r="H15" s="259">
        <v>594</v>
      </c>
      <c r="I15" s="281">
        <f t="shared" si="8"/>
        <v>2.5906735751295429E-2</v>
      </c>
      <c r="J15" s="124">
        <v>579</v>
      </c>
      <c r="K15" s="17"/>
      <c r="L15" s="68"/>
      <c r="M15" s="39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s="2" customFormat="1" ht="10.5">
      <c r="A16" s="123" t="s">
        <v>89</v>
      </c>
      <c r="B16" s="273">
        <v>399</v>
      </c>
      <c r="C16" s="311">
        <f t="shared" si="5"/>
        <v>3.90625E-2</v>
      </c>
      <c r="D16" s="273">
        <v>384</v>
      </c>
      <c r="E16" s="311">
        <f t="shared" si="6"/>
        <v>2.9490616621983934E-2</v>
      </c>
      <c r="F16" s="273">
        <v>373</v>
      </c>
      <c r="G16" s="311">
        <f t="shared" si="7"/>
        <v>2.1917808219177992E-2</v>
      </c>
      <c r="H16" s="259">
        <v>365</v>
      </c>
      <c r="I16" s="281">
        <f t="shared" si="8"/>
        <v>2.528089887640439E-2</v>
      </c>
      <c r="J16" s="124">
        <v>356</v>
      </c>
      <c r="K16" s="17"/>
      <c r="L16" s="68"/>
      <c r="M16" s="39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s="6" customFormat="1" ht="10">
      <c r="A17" s="123" t="s">
        <v>90</v>
      </c>
      <c r="B17" s="273">
        <v>361</v>
      </c>
      <c r="C17" s="311">
        <f t="shared" si="5"/>
        <v>0.1645161290322581</v>
      </c>
      <c r="D17" s="273">
        <v>310</v>
      </c>
      <c r="E17" s="311">
        <f t="shared" si="6"/>
        <v>8.7719298245614086E-2</v>
      </c>
      <c r="F17" s="273">
        <v>285</v>
      </c>
      <c r="G17" s="311">
        <f t="shared" si="7"/>
        <v>4.3956043956044022E-2</v>
      </c>
      <c r="H17" s="259">
        <v>273</v>
      </c>
      <c r="I17" s="281">
        <f t="shared" si="8"/>
        <v>-1.4440433212996373E-2</v>
      </c>
      <c r="J17" s="124">
        <v>277</v>
      </c>
      <c r="K17" s="17"/>
      <c r="L17" s="68"/>
      <c r="M17" s="39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s="6" customFormat="1" ht="10">
      <c r="A18" s="123" t="s">
        <v>132</v>
      </c>
      <c r="B18" s="273">
        <v>99</v>
      </c>
      <c r="C18" s="311">
        <f t="shared" si="5"/>
        <v>-6.6037735849056589E-2</v>
      </c>
      <c r="D18" s="273">
        <v>106</v>
      </c>
      <c r="E18" s="311">
        <f t="shared" si="6"/>
        <v>-2.752293577981646E-2</v>
      </c>
      <c r="F18" s="273">
        <v>109</v>
      </c>
      <c r="G18" s="311">
        <f t="shared" si="7"/>
        <v>-6.0344827586206851E-2</v>
      </c>
      <c r="H18" s="259">
        <v>116</v>
      </c>
      <c r="I18" s="281">
        <f t="shared" si="8"/>
        <v>-0.14074074074074072</v>
      </c>
      <c r="J18" s="124">
        <v>135</v>
      </c>
      <c r="K18" s="17"/>
      <c r="L18" s="68"/>
      <c r="M18" s="39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s="6" customFormat="1" ht="10">
      <c r="A19" s="123" t="s">
        <v>91</v>
      </c>
      <c r="B19" s="273">
        <v>216</v>
      </c>
      <c r="C19" s="311">
        <f t="shared" si="5"/>
        <v>-4.6082949308755561E-3</v>
      </c>
      <c r="D19" s="273">
        <v>217</v>
      </c>
      <c r="E19" s="311">
        <f t="shared" si="6"/>
        <v>0</v>
      </c>
      <c r="F19" s="273">
        <v>217</v>
      </c>
      <c r="G19" s="311">
        <f t="shared" si="7"/>
        <v>3.8277511961722466E-2</v>
      </c>
      <c r="H19" s="259">
        <v>209</v>
      </c>
      <c r="I19" s="281">
        <f t="shared" si="8"/>
        <v>2.9556650246305383E-2</v>
      </c>
      <c r="J19" s="124">
        <v>203</v>
      </c>
      <c r="K19" s="17"/>
      <c r="L19" s="68"/>
      <c r="M19" s="39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s="6" customFormat="1" ht="10">
      <c r="A20" s="123" t="s">
        <v>92</v>
      </c>
      <c r="B20" s="273">
        <v>184</v>
      </c>
      <c r="C20" s="311">
        <f t="shared" si="5"/>
        <v>-1.0752688172043001E-2</v>
      </c>
      <c r="D20" s="273">
        <v>186</v>
      </c>
      <c r="E20" s="311">
        <f t="shared" si="6"/>
        <v>6.2857142857142945E-2</v>
      </c>
      <c r="F20" s="273">
        <v>175</v>
      </c>
      <c r="G20" s="311">
        <f t="shared" si="7"/>
        <v>2.3391812865497075E-2</v>
      </c>
      <c r="H20" s="259">
        <v>171</v>
      </c>
      <c r="I20" s="281">
        <f t="shared" si="8"/>
        <v>6.8750000000000089E-2</v>
      </c>
      <c r="J20" s="124">
        <v>160</v>
      </c>
      <c r="K20" s="17"/>
      <c r="L20" s="68"/>
      <c r="M20" s="39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s="6" customFormat="1" ht="10">
      <c r="A21" s="123" t="s">
        <v>93</v>
      </c>
      <c r="B21" s="273">
        <v>137</v>
      </c>
      <c r="C21" s="311">
        <f t="shared" si="5"/>
        <v>0.14166666666666661</v>
      </c>
      <c r="D21" s="273">
        <v>120</v>
      </c>
      <c r="E21" s="311">
        <f t="shared" si="6"/>
        <v>8.1081081081081141E-2</v>
      </c>
      <c r="F21" s="273">
        <v>111</v>
      </c>
      <c r="G21" s="311">
        <f t="shared" si="7"/>
        <v>0.1212121212121211</v>
      </c>
      <c r="H21" s="259">
        <v>99</v>
      </c>
      <c r="I21" s="281">
        <f t="shared" si="8"/>
        <v>-1.980198019801982E-2</v>
      </c>
      <c r="J21" s="124">
        <v>101</v>
      </c>
      <c r="K21" s="17"/>
      <c r="L21" s="68"/>
      <c r="M21" s="39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s="6" customFormat="1" ht="10">
      <c r="A22" s="123" t="s">
        <v>94</v>
      </c>
      <c r="B22" s="273">
        <v>18</v>
      </c>
      <c r="C22" s="311">
        <f t="shared" si="5"/>
        <v>0.19999999999999996</v>
      </c>
      <c r="D22" s="273">
        <v>15</v>
      </c>
      <c r="E22" s="311">
        <f t="shared" si="6"/>
        <v>7.1428571428571397E-2</v>
      </c>
      <c r="F22" s="273">
        <v>14</v>
      </c>
      <c r="G22" s="311">
        <f t="shared" si="7"/>
        <v>0</v>
      </c>
      <c r="H22" s="259">
        <v>14</v>
      </c>
      <c r="I22" s="281">
        <f t="shared" si="8"/>
        <v>0</v>
      </c>
      <c r="J22" s="124">
        <v>14</v>
      </c>
      <c r="K22" s="17"/>
      <c r="L22" s="68"/>
      <c r="M22" s="39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s="6" customFormat="1" ht="10">
      <c r="A23" s="123" t="s">
        <v>95</v>
      </c>
      <c r="B23" s="273">
        <v>163</v>
      </c>
      <c r="C23" s="311">
        <f t="shared" si="5"/>
        <v>6.5359477124182996E-2</v>
      </c>
      <c r="D23" s="273">
        <v>153</v>
      </c>
      <c r="E23" s="311">
        <f t="shared" si="6"/>
        <v>0.16793893129770998</v>
      </c>
      <c r="F23" s="273">
        <v>131</v>
      </c>
      <c r="G23" s="311">
        <f t="shared" si="7"/>
        <v>0.19090909090909092</v>
      </c>
      <c r="H23" s="259">
        <v>110</v>
      </c>
      <c r="I23" s="281">
        <f t="shared" si="8"/>
        <v>6.7961165048543659E-2</v>
      </c>
      <c r="J23" s="124">
        <v>103</v>
      </c>
      <c r="K23" s="17"/>
      <c r="L23" s="68"/>
      <c r="M23" s="39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s="6" customFormat="1" ht="10">
      <c r="A24" s="123" t="s">
        <v>96</v>
      </c>
      <c r="B24" s="273">
        <v>62</v>
      </c>
      <c r="C24" s="311">
        <f t="shared" si="5"/>
        <v>3.3333333333333437E-2</v>
      </c>
      <c r="D24" s="273">
        <v>60</v>
      </c>
      <c r="E24" s="311">
        <f t="shared" si="6"/>
        <v>-1.6393442622950838E-2</v>
      </c>
      <c r="F24" s="273">
        <v>61</v>
      </c>
      <c r="G24" s="311">
        <f t="shared" si="7"/>
        <v>3.3898305084745672E-2</v>
      </c>
      <c r="H24" s="259">
        <v>59</v>
      </c>
      <c r="I24" s="281">
        <f t="shared" si="8"/>
        <v>5.3571428571428603E-2</v>
      </c>
      <c r="J24" s="124">
        <v>56</v>
      </c>
      <c r="K24" s="17"/>
      <c r="L24" s="68"/>
      <c r="M24" s="39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s="6" customFormat="1" ht="10">
      <c r="A25" s="123" t="s">
        <v>97</v>
      </c>
      <c r="B25" s="273">
        <v>105</v>
      </c>
      <c r="C25" s="311">
        <f t="shared" si="5"/>
        <v>-9.4827586206896575E-2</v>
      </c>
      <c r="D25" s="273">
        <v>116</v>
      </c>
      <c r="E25" s="311">
        <f t="shared" si="6"/>
        <v>-8.6614173228346414E-2</v>
      </c>
      <c r="F25" s="273">
        <v>127</v>
      </c>
      <c r="G25" s="311">
        <f t="shared" si="7"/>
        <v>-8.633093525179858E-2</v>
      </c>
      <c r="H25" s="259">
        <v>139</v>
      </c>
      <c r="I25" s="281">
        <f t="shared" si="8"/>
        <v>-8.5526315789473673E-2</v>
      </c>
      <c r="J25" s="124">
        <v>152</v>
      </c>
      <c r="K25" s="17"/>
      <c r="L25" s="68"/>
      <c r="M25" s="39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s="6" customFormat="1" ht="10">
      <c r="A26" s="123" t="s">
        <v>98</v>
      </c>
      <c r="B26" s="183">
        <v>56</v>
      </c>
      <c r="C26" s="311">
        <f t="shared" si="5"/>
        <v>0</v>
      </c>
      <c r="D26" s="183">
        <v>56</v>
      </c>
      <c r="E26" s="311">
        <f t="shared" si="6"/>
        <v>0</v>
      </c>
      <c r="F26" s="183">
        <v>56</v>
      </c>
      <c r="G26" s="311">
        <f t="shared" si="7"/>
        <v>-1.7543859649122862E-2</v>
      </c>
      <c r="H26" s="260">
        <v>57</v>
      </c>
      <c r="I26" s="281">
        <f t="shared" si="8"/>
        <v>-3.3898305084745783E-2</v>
      </c>
      <c r="J26" s="125">
        <v>59</v>
      </c>
      <c r="K26" s="17"/>
      <c r="L26" s="68"/>
      <c r="M26" s="39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s="6" customFormat="1" ht="10">
      <c r="A27" s="123" t="s">
        <v>99</v>
      </c>
      <c r="B27" s="273">
        <v>29</v>
      </c>
      <c r="C27" s="311">
        <f t="shared" si="5"/>
        <v>-0.1470588235294118</v>
      </c>
      <c r="D27" s="273">
        <v>34</v>
      </c>
      <c r="E27" s="311">
        <f t="shared" si="6"/>
        <v>0.2592592592592593</v>
      </c>
      <c r="F27" s="273">
        <v>27</v>
      </c>
      <c r="G27" s="311">
        <f t="shared" si="7"/>
        <v>-9.9999999999999978E-2</v>
      </c>
      <c r="H27" s="259">
        <v>30</v>
      </c>
      <c r="I27" s="281">
        <f t="shared" si="8"/>
        <v>-0.11764705882352944</v>
      </c>
      <c r="J27" s="124">
        <v>34</v>
      </c>
      <c r="K27" s="17"/>
      <c r="L27" s="68"/>
      <c r="M27" s="39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s="2" customFormat="1" ht="10.5">
      <c r="A28" s="123" t="s">
        <v>100</v>
      </c>
      <c r="B28" s="273">
        <v>23</v>
      </c>
      <c r="C28" s="311">
        <f t="shared" si="5"/>
        <v>0.27777777777777768</v>
      </c>
      <c r="D28" s="273">
        <v>18</v>
      </c>
      <c r="E28" s="311">
        <f t="shared" si="6"/>
        <v>-5.2631578947368474E-2</v>
      </c>
      <c r="F28" s="273">
        <v>19</v>
      </c>
      <c r="G28" s="311">
        <f t="shared" si="7"/>
        <v>-0.17391304347826086</v>
      </c>
      <c r="H28" s="259">
        <v>23</v>
      </c>
      <c r="I28" s="281">
        <f t="shared" si="8"/>
        <v>-7.999999999999996E-2</v>
      </c>
      <c r="J28" s="124">
        <v>25</v>
      </c>
      <c r="K28" s="17"/>
      <c r="L28" s="68"/>
      <c r="M28" s="39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s="6" customFormat="1" ht="10">
      <c r="A29" s="123" t="s">
        <v>101</v>
      </c>
      <c r="B29" s="273">
        <v>16</v>
      </c>
      <c r="C29" s="311">
        <f t="shared" si="5"/>
        <v>0.60000000000000009</v>
      </c>
      <c r="D29" s="273">
        <v>10</v>
      </c>
      <c r="E29" s="311"/>
      <c r="F29" s="273">
        <v>0</v>
      </c>
      <c r="G29" s="311"/>
      <c r="H29" s="259">
        <v>0</v>
      </c>
      <c r="I29" s="281"/>
      <c r="J29" s="124">
        <v>0</v>
      </c>
      <c r="K29" s="17"/>
      <c r="L29" s="68"/>
      <c r="M29" s="39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s="6" customFormat="1" ht="10">
      <c r="A30" s="123" t="s">
        <v>102</v>
      </c>
      <c r="B30" s="273">
        <v>24</v>
      </c>
      <c r="C30" s="311">
        <f t="shared" si="5"/>
        <v>-7.6923076923076872E-2</v>
      </c>
      <c r="D30" s="273">
        <v>26</v>
      </c>
      <c r="E30" s="311">
        <f t="shared" si="6"/>
        <v>4.0000000000000036E-2</v>
      </c>
      <c r="F30" s="273">
        <v>25</v>
      </c>
      <c r="G30" s="311">
        <f t="shared" si="7"/>
        <v>0.25</v>
      </c>
      <c r="H30" s="259">
        <v>20</v>
      </c>
      <c r="I30" s="281">
        <f t="shared" si="8"/>
        <v>0.11111111111111116</v>
      </c>
      <c r="J30" s="124">
        <v>18</v>
      </c>
      <c r="K30" s="17"/>
      <c r="L30" s="68"/>
      <c r="M30" s="39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s="6" customFormat="1" ht="10">
      <c r="A31" s="123" t="s">
        <v>103</v>
      </c>
      <c r="B31" s="273">
        <v>0</v>
      </c>
      <c r="C31" s="311"/>
      <c r="D31" s="273">
        <v>0</v>
      </c>
      <c r="E31" s="311"/>
      <c r="F31" s="273">
        <v>0</v>
      </c>
      <c r="G31" s="311"/>
      <c r="H31" s="259">
        <v>0</v>
      </c>
      <c r="I31" s="281"/>
      <c r="J31" s="124">
        <v>0</v>
      </c>
      <c r="K31" s="17"/>
      <c r="L31" s="68"/>
      <c r="M31" s="39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s="6" customFormat="1" ht="10">
      <c r="A32" s="123" t="s">
        <v>104</v>
      </c>
      <c r="B32" s="273">
        <v>1</v>
      </c>
      <c r="C32" s="311">
        <f t="shared" si="5"/>
        <v>0</v>
      </c>
      <c r="D32" s="273">
        <v>1</v>
      </c>
      <c r="E32" s="311">
        <f t="shared" si="6"/>
        <v>-0.5</v>
      </c>
      <c r="F32" s="273">
        <v>2</v>
      </c>
      <c r="G32" s="311">
        <f t="shared" si="7"/>
        <v>0</v>
      </c>
      <c r="H32" s="259">
        <v>2</v>
      </c>
      <c r="I32" s="281">
        <f t="shared" si="8"/>
        <v>1</v>
      </c>
      <c r="J32" s="124">
        <v>1</v>
      </c>
      <c r="K32" s="18"/>
      <c r="L32" s="71"/>
      <c r="M32" s="39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s="6" customFormat="1" ht="10">
      <c r="A33" s="123" t="s">
        <v>105</v>
      </c>
      <c r="B33" s="274">
        <v>0</v>
      </c>
      <c r="C33" s="311"/>
      <c r="D33" s="274">
        <v>0</v>
      </c>
      <c r="E33" s="311"/>
      <c r="F33" s="274">
        <v>0</v>
      </c>
      <c r="G33" s="311"/>
      <c r="H33" s="261">
        <v>0</v>
      </c>
      <c r="I33" s="281"/>
      <c r="J33" s="127">
        <v>0</v>
      </c>
      <c r="K33" s="17"/>
      <c r="L33" s="7"/>
      <c r="M33" s="1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s="6" customFormat="1" ht="10">
      <c r="A34" s="123" t="s">
        <v>106</v>
      </c>
      <c r="B34" s="274">
        <v>0</v>
      </c>
      <c r="C34" s="311"/>
      <c r="D34" s="274">
        <v>0</v>
      </c>
      <c r="E34" s="311"/>
      <c r="F34" s="274">
        <v>0</v>
      </c>
      <c r="G34" s="311"/>
      <c r="H34" s="261">
        <v>0</v>
      </c>
      <c r="I34" s="281"/>
      <c r="J34" s="127">
        <v>0</v>
      </c>
      <c r="K34" s="17"/>
      <c r="L34" s="7"/>
      <c r="M34" s="1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s="6" customFormat="1" ht="10">
      <c r="A35" s="126" t="s">
        <v>86</v>
      </c>
      <c r="B35" s="184">
        <f>B13</f>
        <v>2616</v>
      </c>
      <c r="C35" s="311">
        <f t="shared" ref="C35:C40" si="9">IF((+B35/D35)&lt;0,"n.m.",IF(B35&lt;0,(+B35/D35-1)*-1,(+B35/D35-1)))</f>
        <v>2.1475985942990938E-2</v>
      </c>
      <c r="D35" s="184">
        <f>D13</f>
        <v>2561</v>
      </c>
      <c r="E35" s="311">
        <f t="shared" si="6"/>
        <v>3.1829170024173958E-2</v>
      </c>
      <c r="F35" s="128">
        <f>F13</f>
        <v>2482</v>
      </c>
      <c r="G35" s="311">
        <f t="shared" si="7"/>
        <v>3.9798910766652762E-2</v>
      </c>
      <c r="H35" s="184">
        <f>H13</f>
        <v>2387</v>
      </c>
      <c r="I35" s="281">
        <f t="shared" si="8"/>
        <v>1.2728044123886395E-2</v>
      </c>
      <c r="J35" s="128">
        <f>J13</f>
        <v>2357</v>
      </c>
      <c r="K35" s="17"/>
      <c r="L35" s="68"/>
      <c r="M35" s="17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s="6" customFormat="1" ht="10">
      <c r="A36" s="126" t="s">
        <v>87</v>
      </c>
      <c r="B36" s="184">
        <f>B14</f>
        <v>1242</v>
      </c>
      <c r="C36" s="311">
        <f t="shared" si="9"/>
        <v>2.2222222222222143E-2</v>
      </c>
      <c r="D36" s="184">
        <f>D14</f>
        <v>1215</v>
      </c>
      <c r="E36" s="311">
        <f t="shared" si="6"/>
        <v>3.7574722459436272E-2</v>
      </c>
      <c r="F36" s="128">
        <f>F14</f>
        <v>1171</v>
      </c>
      <c r="G36" s="311">
        <f t="shared" si="7"/>
        <v>1.5611448395490113E-2</v>
      </c>
      <c r="H36" s="184">
        <f>H14</f>
        <v>1153</v>
      </c>
      <c r="I36" s="281">
        <f t="shared" si="8"/>
        <v>7.8671328671329199E-3</v>
      </c>
      <c r="J36" s="128">
        <f>J14</f>
        <v>1144</v>
      </c>
      <c r="K36" s="17"/>
      <c r="L36" s="68"/>
      <c r="M36" s="17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s="2" customFormat="1" ht="10.5">
      <c r="A37" s="126" t="s">
        <v>107</v>
      </c>
      <c r="B37" s="183">
        <f>B15+B16+B17+B18+B19+B20+B21+B22+B23+B24</f>
        <v>2352</v>
      </c>
      <c r="C37" s="311">
        <f t="shared" si="9"/>
        <v>7.2503419972640204E-2</v>
      </c>
      <c r="D37" s="183">
        <f>D15+D16+D17+D18+D19+D20+D21+D22+D23+D24</f>
        <v>2193</v>
      </c>
      <c r="E37" s="311">
        <f t="shared" si="6"/>
        <v>4.6778042959427113E-2</v>
      </c>
      <c r="F37" s="125">
        <f>F15+F16+F17+F18+F19+F20+F21+F22+F23+F24</f>
        <v>2095</v>
      </c>
      <c r="G37" s="311">
        <f t="shared" si="7"/>
        <v>4.2288557213930433E-2</v>
      </c>
      <c r="H37" s="183">
        <f>H15+H16+H17+H18+H19+H20+H21+H22+H23+H24</f>
        <v>2010</v>
      </c>
      <c r="I37" s="281">
        <f t="shared" si="8"/>
        <v>1.3104838709677491E-2</v>
      </c>
      <c r="J37" s="125">
        <f>J15+J16+J17+J18+J19+J20+J21+J22+J23+J24</f>
        <v>1984</v>
      </c>
      <c r="K37" s="12"/>
      <c r="L37" s="68"/>
      <c r="M37" s="12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s="2" customFormat="1" ht="10.5">
      <c r="A38" s="126" t="s">
        <v>108</v>
      </c>
      <c r="B38" s="183">
        <f>B25+B26+B27+B28+B29+B30</f>
        <v>253</v>
      </c>
      <c r="C38" s="311">
        <f t="shared" si="9"/>
        <v>-2.6923076923076938E-2</v>
      </c>
      <c r="D38" s="183">
        <f>D25+D26+D27+D28+D29+D30</f>
        <v>260</v>
      </c>
      <c r="E38" s="311">
        <f t="shared" si="6"/>
        <v>2.3622047244094446E-2</v>
      </c>
      <c r="F38" s="125">
        <f>F25+F26+F27+F28+F29+F30</f>
        <v>254</v>
      </c>
      <c r="G38" s="311">
        <f t="shared" si="7"/>
        <v>-5.5762081784386575E-2</v>
      </c>
      <c r="H38" s="183">
        <f>H25+H26+H27+H28+H29+H30</f>
        <v>269</v>
      </c>
      <c r="I38" s="281">
        <f t="shared" si="8"/>
        <v>-6.597222222222221E-2</v>
      </c>
      <c r="J38" s="125">
        <f>J25+J26+J27+J28+J29+J30</f>
        <v>288</v>
      </c>
      <c r="K38" s="12"/>
      <c r="L38" s="68"/>
      <c r="M38" s="12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s="6" customFormat="1" ht="10">
      <c r="A39" s="126" t="s">
        <v>109</v>
      </c>
      <c r="B39" s="183">
        <f>B31+B32+B33+B34</f>
        <v>1</v>
      </c>
      <c r="C39" s="311">
        <f t="shared" si="9"/>
        <v>0</v>
      </c>
      <c r="D39" s="183">
        <f>D31+D32+D33+D34</f>
        <v>1</v>
      </c>
      <c r="E39" s="311">
        <f t="shared" si="6"/>
        <v>-0.5</v>
      </c>
      <c r="F39" s="125">
        <f>F31+F32+F33+F34</f>
        <v>2</v>
      </c>
      <c r="G39" s="311">
        <f t="shared" si="7"/>
        <v>0</v>
      </c>
      <c r="H39" s="183">
        <f>H31+H32+H33+H34</f>
        <v>2</v>
      </c>
      <c r="I39" s="281">
        <f t="shared" si="8"/>
        <v>1</v>
      </c>
      <c r="J39" s="125">
        <f>J31+J32+J33+J34</f>
        <v>1</v>
      </c>
      <c r="K39" s="12"/>
      <c r="L39" s="68"/>
      <c r="M39" s="12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s="2" customFormat="1" ht="10.5">
      <c r="A40" s="129" t="s">
        <v>110</v>
      </c>
      <c r="B40" s="185">
        <f>SUM(B35:B39)</f>
        <v>6464</v>
      </c>
      <c r="C40" s="310">
        <f t="shared" si="9"/>
        <v>3.7560192616372445E-2</v>
      </c>
      <c r="D40" s="185">
        <f>SUM(D35:D39)</f>
        <v>6230</v>
      </c>
      <c r="E40" s="310">
        <f t="shared" si="6"/>
        <v>3.764157228514331E-2</v>
      </c>
      <c r="F40" s="130">
        <f>SUM(F35:F39)</f>
        <v>6004</v>
      </c>
      <c r="G40" s="310">
        <f t="shared" si="7"/>
        <v>3.143789726851054E-2</v>
      </c>
      <c r="H40" s="185">
        <f>SUM(H35:H39)</f>
        <v>5821</v>
      </c>
      <c r="I40" s="282">
        <f t="shared" si="8"/>
        <v>8.1399376515414179E-3</v>
      </c>
      <c r="J40" s="130">
        <f>SUM(J35:J39)</f>
        <v>5774</v>
      </c>
      <c r="K40" s="19"/>
      <c r="L40" s="76"/>
      <c r="M40" s="19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s="82" customFormat="1" ht="10">
      <c r="A41" s="131" t="s">
        <v>120</v>
      </c>
      <c r="B41" s="186">
        <f>B40/Group!B154</f>
        <v>8.40364539320584E-2</v>
      </c>
      <c r="C41" s="311"/>
      <c r="D41" s="186">
        <f>D40/Group!D154</f>
        <v>8.2560296846011128E-2</v>
      </c>
      <c r="E41" s="311"/>
      <c r="F41" s="132">
        <f>F40/Group!F154</f>
        <v>8.2354877647317026E-2</v>
      </c>
      <c r="G41" s="311"/>
      <c r="H41" s="186">
        <f>H40/Group!H154</f>
        <v>8.1028410751820046E-2</v>
      </c>
      <c r="I41" s="132"/>
      <c r="J41" s="132">
        <f>J40/Group!J154</f>
        <v>7.8756052649526023E-2</v>
      </c>
      <c r="K41" s="80"/>
      <c r="L41" s="79"/>
      <c r="M41" s="80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</row>
    <row r="42" spans="1:24" ht="12" customHeight="1">
      <c r="A42" s="117"/>
      <c r="B42" s="121"/>
      <c r="C42" s="311"/>
      <c r="D42" s="121"/>
      <c r="E42" s="311"/>
      <c r="F42" s="121"/>
      <c r="G42" s="311"/>
      <c r="H42" s="121"/>
      <c r="I42" s="121"/>
      <c r="J42" s="121"/>
    </row>
    <row r="43" spans="1:24" s="60" customFormat="1" ht="12" customHeight="1">
      <c r="A43" s="129" t="s">
        <v>1</v>
      </c>
      <c r="B43" s="122"/>
      <c r="C43" s="311"/>
      <c r="D43" s="122"/>
      <c r="E43" s="311"/>
      <c r="F43" s="122"/>
      <c r="G43" s="311"/>
      <c r="H43" s="122"/>
      <c r="I43" s="122"/>
      <c r="J43" s="122"/>
    </row>
    <row r="44" spans="1:24" s="2" customFormat="1" ht="10.5">
      <c r="A44" s="123" t="s">
        <v>86</v>
      </c>
      <c r="B44" s="275">
        <v>58.97</v>
      </c>
      <c r="C44" s="311">
        <f t="shared" ref="C44:C71" si="10">IF((+B44/D44)&lt;0,"n.m.",IF(B44&lt;0,(+B44/D44-1)*-1,(+B44/D44-1)))</f>
        <v>0.25095460330929154</v>
      </c>
      <c r="D44" s="275">
        <v>47.14</v>
      </c>
      <c r="E44" s="311">
        <f t="shared" ref="E44:E71" si="11">IF((+D44/F44)&lt;0,"n.m.",IF(D44&lt;0,(+D44/F44-1)*-1,(+D44/F44-1)))</f>
        <v>-0.25996860282574574</v>
      </c>
      <c r="F44" s="275">
        <v>63.7</v>
      </c>
      <c r="G44" s="311">
        <f t="shared" si="7"/>
        <v>-0.18007465568284198</v>
      </c>
      <c r="H44" s="262">
        <v>77.69</v>
      </c>
      <c r="I44" s="281">
        <f t="shared" ref="I44:I71" si="12">IF((+H44/J44)&lt;0,"n.m.",IF(H44&lt;0,(+H44/J44-1)*-1,(+H44/J44-1)))</f>
        <v>0.48319969453990064</v>
      </c>
      <c r="J44" s="133">
        <v>52.38</v>
      </c>
      <c r="K44" s="17"/>
      <c r="L44" s="68"/>
      <c r="M44" s="39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s="2" customFormat="1" ht="10.5">
      <c r="A45" s="123" t="s">
        <v>87</v>
      </c>
      <c r="B45" s="275">
        <v>26.95</v>
      </c>
      <c r="C45" s="311">
        <f t="shared" si="10"/>
        <v>-0.15649452269170583</v>
      </c>
      <c r="D45" s="275">
        <v>31.95</v>
      </c>
      <c r="E45" s="311">
        <f t="shared" si="11"/>
        <v>-0.11789066813914961</v>
      </c>
      <c r="F45" s="275">
        <v>36.22</v>
      </c>
      <c r="G45" s="311">
        <f t="shared" si="7"/>
        <v>3.6634230108757881E-2</v>
      </c>
      <c r="H45" s="262">
        <v>34.94</v>
      </c>
      <c r="I45" s="281">
        <f t="shared" si="12"/>
        <v>7.772979642196165E-2</v>
      </c>
      <c r="J45" s="133">
        <v>32.42</v>
      </c>
      <c r="K45" s="17"/>
      <c r="L45" s="68"/>
      <c r="M45" s="39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s="2" customFormat="1" ht="10.5">
      <c r="A46" s="123" t="s">
        <v>88</v>
      </c>
      <c r="B46" s="275">
        <v>8.41</v>
      </c>
      <c r="C46" s="311">
        <f t="shared" si="10"/>
        <v>0.29185867895545314</v>
      </c>
      <c r="D46" s="275">
        <v>6.51</v>
      </c>
      <c r="E46" s="311">
        <f t="shared" si="11"/>
        <v>0.65648854961832059</v>
      </c>
      <c r="F46" s="275">
        <v>3.93</v>
      </c>
      <c r="G46" s="311">
        <f t="shared" si="7"/>
        <v>-0.33276740237690994</v>
      </c>
      <c r="H46" s="262">
        <v>5.89</v>
      </c>
      <c r="I46" s="281">
        <f t="shared" si="12"/>
        <v>-0.25818639798488674</v>
      </c>
      <c r="J46" s="133">
        <v>7.94</v>
      </c>
      <c r="K46" s="17"/>
      <c r="L46" s="68"/>
      <c r="M46" s="39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s="2" customFormat="1" ht="10.5">
      <c r="A47" s="123" t="s">
        <v>89</v>
      </c>
      <c r="B47" s="275">
        <v>5.78</v>
      </c>
      <c r="C47" s="311">
        <f t="shared" si="10"/>
        <v>0.32568807339449535</v>
      </c>
      <c r="D47" s="275">
        <v>4.3600000000000003</v>
      </c>
      <c r="E47" s="311">
        <f t="shared" si="11"/>
        <v>-0.24827586206896546</v>
      </c>
      <c r="F47" s="275">
        <v>5.8</v>
      </c>
      <c r="G47" s="311">
        <f t="shared" si="7"/>
        <v>-9.7978227060653178E-2</v>
      </c>
      <c r="H47" s="262">
        <v>6.43</v>
      </c>
      <c r="I47" s="281">
        <f t="shared" si="12"/>
        <v>-0.23086124401913877</v>
      </c>
      <c r="J47" s="133">
        <v>8.36</v>
      </c>
      <c r="K47" s="17"/>
      <c r="L47" s="68"/>
      <c r="M47" s="39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s="6" customFormat="1" ht="10">
      <c r="A48" s="123" t="s">
        <v>90</v>
      </c>
      <c r="B48" s="275">
        <v>12.71</v>
      </c>
      <c r="C48" s="311">
        <f t="shared" si="10"/>
        <v>1.4536679536679538</v>
      </c>
      <c r="D48" s="275">
        <v>5.18</v>
      </c>
      <c r="E48" s="311">
        <f t="shared" si="11"/>
        <v>1.4433962264150941</v>
      </c>
      <c r="F48" s="275">
        <v>2.12</v>
      </c>
      <c r="G48" s="311">
        <f t="shared" si="7"/>
        <v>0.26946107784431139</v>
      </c>
      <c r="H48" s="262">
        <v>1.67</v>
      </c>
      <c r="I48" s="281">
        <f t="shared" si="12"/>
        <v>-0.80957810718358036</v>
      </c>
      <c r="J48" s="133">
        <v>8.77</v>
      </c>
      <c r="K48" s="17"/>
      <c r="L48" s="68"/>
      <c r="M48" s="39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s="6" customFormat="1" ht="10">
      <c r="A49" s="123" t="s">
        <v>132</v>
      </c>
      <c r="B49" s="275">
        <v>0.69</v>
      </c>
      <c r="C49" s="311">
        <f t="shared" si="10"/>
        <v>-0.39473684210526316</v>
      </c>
      <c r="D49" s="275">
        <v>1.1399999999999999</v>
      </c>
      <c r="E49" s="311">
        <f t="shared" si="11"/>
        <v>-0.61872909698996659</v>
      </c>
      <c r="F49" s="275">
        <v>2.99</v>
      </c>
      <c r="G49" s="311">
        <f t="shared" si="7"/>
        <v>-0.50332225913621254</v>
      </c>
      <c r="H49" s="262">
        <v>6.02</v>
      </c>
      <c r="I49" s="281">
        <f t="shared" si="12"/>
        <v>-0.32054176072234764</v>
      </c>
      <c r="J49" s="133">
        <v>8.86</v>
      </c>
      <c r="K49" s="17"/>
      <c r="L49" s="68"/>
      <c r="M49" s="39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s="6" customFormat="1" ht="10">
      <c r="A50" s="123" t="s">
        <v>91</v>
      </c>
      <c r="B50" s="275">
        <v>3.84</v>
      </c>
      <c r="C50" s="311">
        <f t="shared" si="10"/>
        <v>0.72197309417040345</v>
      </c>
      <c r="D50" s="275">
        <v>2.23</v>
      </c>
      <c r="E50" s="311">
        <f t="shared" si="11"/>
        <v>0.42038216560509545</v>
      </c>
      <c r="F50" s="275">
        <v>1.57</v>
      </c>
      <c r="G50" s="311">
        <f t="shared" si="7"/>
        <v>-0.12290502793296088</v>
      </c>
      <c r="H50" s="262">
        <v>1.79</v>
      </c>
      <c r="I50" s="281">
        <f t="shared" si="12"/>
        <v>0.79</v>
      </c>
      <c r="J50" s="133">
        <v>1</v>
      </c>
      <c r="K50" s="17"/>
      <c r="L50" s="68"/>
      <c r="M50" s="39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s="6" customFormat="1" ht="10">
      <c r="A51" s="123" t="s">
        <v>92</v>
      </c>
      <c r="B51" s="275">
        <v>1.38</v>
      </c>
      <c r="C51" s="311">
        <f t="shared" si="10"/>
        <v>0.60465116279069764</v>
      </c>
      <c r="D51" s="275">
        <v>0.86</v>
      </c>
      <c r="E51" s="311">
        <f t="shared" si="11"/>
        <v>-0.46250000000000002</v>
      </c>
      <c r="F51" s="275">
        <v>1.6</v>
      </c>
      <c r="G51" s="311">
        <f t="shared" si="7"/>
        <v>1.1333333333333333</v>
      </c>
      <c r="H51" s="262">
        <v>0.75</v>
      </c>
      <c r="I51" s="281">
        <f t="shared" si="12"/>
        <v>0.44230769230769229</v>
      </c>
      <c r="J51" s="133">
        <v>0.52</v>
      </c>
      <c r="K51" s="17"/>
      <c r="L51" s="68"/>
      <c r="M51" s="39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s="6" customFormat="1" ht="10">
      <c r="A52" s="123" t="s">
        <v>93</v>
      </c>
      <c r="B52" s="275">
        <v>2.61</v>
      </c>
      <c r="C52" s="311">
        <f t="shared" si="10"/>
        <v>1.9325842696629212</v>
      </c>
      <c r="D52" s="275">
        <v>0.89</v>
      </c>
      <c r="E52" s="311">
        <f t="shared" si="11"/>
        <v>0</v>
      </c>
      <c r="F52" s="275">
        <v>0.89</v>
      </c>
      <c r="G52" s="311">
        <f t="shared" si="7"/>
        <v>-0.2053571428571429</v>
      </c>
      <c r="H52" s="262">
        <v>1.1200000000000001</v>
      </c>
      <c r="I52" s="281">
        <f t="shared" si="12"/>
        <v>0.12000000000000011</v>
      </c>
      <c r="J52" s="133">
        <v>1</v>
      </c>
      <c r="K52" s="17"/>
      <c r="L52" s="68"/>
      <c r="M52" s="39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s="6" customFormat="1" ht="10">
      <c r="A53" s="123" t="s">
        <v>94</v>
      </c>
      <c r="B53" s="275">
        <v>0.49</v>
      </c>
      <c r="C53" s="311">
        <f t="shared" si="10"/>
        <v>0.88461538461538458</v>
      </c>
      <c r="D53" s="275">
        <v>0.26</v>
      </c>
      <c r="E53" s="311">
        <f t="shared" si="11"/>
        <v>-3.703703703703709E-2</v>
      </c>
      <c r="F53" s="275">
        <v>0.27</v>
      </c>
      <c r="G53" s="311">
        <f t="shared" si="7"/>
        <v>-0.20588235294117652</v>
      </c>
      <c r="H53" s="262">
        <v>0.34</v>
      </c>
      <c r="I53" s="281">
        <f t="shared" si="12"/>
        <v>4.666666666666667</v>
      </c>
      <c r="J53" s="133">
        <v>0.06</v>
      </c>
      <c r="K53" s="17"/>
      <c r="L53" s="68"/>
      <c r="M53" s="39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s="6" customFormat="1" ht="10">
      <c r="A54" s="123" t="s">
        <v>95</v>
      </c>
      <c r="B54" s="275">
        <v>0.96</v>
      </c>
      <c r="C54" s="311">
        <f t="shared" si="10"/>
        <v>-0.14285714285714302</v>
      </c>
      <c r="D54" s="275">
        <v>1.1200000000000001</v>
      </c>
      <c r="E54" s="311">
        <f t="shared" si="11"/>
        <v>1.1538461538461542</v>
      </c>
      <c r="F54" s="275">
        <v>0.52</v>
      </c>
      <c r="G54" s="311">
        <f t="shared" si="7"/>
        <v>-0.36585365853658536</v>
      </c>
      <c r="H54" s="262">
        <v>0.82</v>
      </c>
      <c r="I54" s="281">
        <f t="shared" si="12"/>
        <v>2.4999999999999911E-2</v>
      </c>
      <c r="J54" s="133">
        <v>0.8</v>
      </c>
      <c r="K54" s="17"/>
      <c r="L54" s="68"/>
      <c r="M54" s="39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s="6" customFormat="1" ht="10">
      <c r="A55" s="123" t="s">
        <v>96</v>
      </c>
      <c r="B55" s="275">
        <v>1.1000000000000001</v>
      </c>
      <c r="C55" s="311">
        <f t="shared" si="10"/>
        <v>0.10000000000000009</v>
      </c>
      <c r="D55" s="275">
        <v>1</v>
      </c>
      <c r="E55" s="311">
        <f t="shared" si="11"/>
        <v>-9.9009900990099098E-3</v>
      </c>
      <c r="F55" s="275">
        <v>1.01</v>
      </c>
      <c r="G55" s="311">
        <f t="shared" si="7"/>
        <v>-0.18548387096774188</v>
      </c>
      <c r="H55" s="262">
        <v>1.24</v>
      </c>
      <c r="I55" s="281">
        <f t="shared" si="12"/>
        <v>0.16981132075471694</v>
      </c>
      <c r="J55" s="133">
        <v>1.06</v>
      </c>
      <c r="K55" s="17"/>
      <c r="L55" s="68"/>
      <c r="M55" s="39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s="6" customFormat="1" ht="10">
      <c r="A56" s="123" t="s">
        <v>97</v>
      </c>
      <c r="B56" s="275">
        <v>2.3199999999999998</v>
      </c>
      <c r="C56" s="311">
        <f t="shared" si="10"/>
        <v>-0.65578635014836806</v>
      </c>
      <c r="D56" s="275">
        <v>6.74</v>
      </c>
      <c r="E56" s="311">
        <f t="shared" si="11"/>
        <v>-0.15960099750623435</v>
      </c>
      <c r="F56" s="275">
        <v>8.02</v>
      </c>
      <c r="G56" s="311">
        <f t="shared" si="7"/>
        <v>-0.52488151658767768</v>
      </c>
      <c r="H56" s="262">
        <v>16.88</v>
      </c>
      <c r="I56" s="281">
        <f t="shared" si="12"/>
        <v>3.5745257452574526</v>
      </c>
      <c r="J56" s="133">
        <v>3.69</v>
      </c>
      <c r="K56" s="17"/>
      <c r="L56" s="68"/>
      <c r="M56" s="39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s="6" customFormat="1" ht="10">
      <c r="A57" s="123" t="s">
        <v>98</v>
      </c>
      <c r="B57" s="187">
        <v>0.66</v>
      </c>
      <c r="C57" s="311">
        <f t="shared" si="10"/>
        <v>-0.66999999999999993</v>
      </c>
      <c r="D57" s="187">
        <v>2</v>
      </c>
      <c r="E57" s="311">
        <f t="shared" si="11"/>
        <v>1.5641025641025639</v>
      </c>
      <c r="F57" s="187">
        <v>0.78</v>
      </c>
      <c r="G57" s="311">
        <f t="shared" si="7"/>
        <v>0.25806451612903225</v>
      </c>
      <c r="H57" s="263">
        <v>0.62</v>
      </c>
      <c r="I57" s="281">
        <f t="shared" si="12"/>
        <v>-0.12676056338028163</v>
      </c>
      <c r="J57" s="134">
        <v>0.71</v>
      </c>
      <c r="K57" s="17"/>
      <c r="L57" s="68"/>
      <c r="M57" s="39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s="6" customFormat="1" ht="10">
      <c r="A58" s="123" t="s">
        <v>99</v>
      </c>
      <c r="B58" s="275">
        <v>2.37</v>
      </c>
      <c r="C58" s="311">
        <f t="shared" si="10"/>
        <v>1.3009708737864076</v>
      </c>
      <c r="D58" s="275">
        <v>1.03</v>
      </c>
      <c r="E58" s="311">
        <f t="shared" si="11"/>
        <v>-0.37195121951219512</v>
      </c>
      <c r="F58" s="275">
        <v>1.64</v>
      </c>
      <c r="G58" s="311">
        <f t="shared" si="7"/>
        <v>1.4477611940298503</v>
      </c>
      <c r="H58" s="262">
        <v>0.67</v>
      </c>
      <c r="I58" s="281">
        <f t="shared" si="12"/>
        <v>-0.51449275362318836</v>
      </c>
      <c r="J58" s="133">
        <v>1.38</v>
      </c>
      <c r="K58" s="17"/>
      <c r="L58" s="68"/>
      <c r="M58" s="39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s="2" customFormat="1" ht="10.5">
      <c r="A59" s="123" t="s">
        <v>100</v>
      </c>
      <c r="B59" s="275">
        <v>0.49</v>
      </c>
      <c r="C59" s="311">
        <f t="shared" si="10"/>
        <v>0.48484848484848486</v>
      </c>
      <c r="D59" s="275">
        <v>0.33</v>
      </c>
      <c r="E59" s="311">
        <f t="shared" si="11"/>
        <v>0.13793103448275867</v>
      </c>
      <c r="F59" s="275">
        <v>0.28999999999999998</v>
      </c>
      <c r="G59" s="311">
        <f t="shared" si="7"/>
        <v>-0.55384615384615388</v>
      </c>
      <c r="H59" s="262">
        <v>0.65</v>
      </c>
      <c r="I59" s="281">
        <f t="shared" si="12"/>
        <v>20.666666666666668</v>
      </c>
      <c r="J59" s="133">
        <v>0.03</v>
      </c>
      <c r="K59" s="17"/>
      <c r="L59" s="68"/>
      <c r="M59" s="39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s="6" customFormat="1" ht="10">
      <c r="A60" s="123" t="s">
        <v>101</v>
      </c>
      <c r="B60" s="275">
        <v>0.33</v>
      </c>
      <c r="C60" s="311">
        <f t="shared" si="10"/>
        <v>-0.108108108108108</v>
      </c>
      <c r="D60" s="275">
        <v>0.37</v>
      </c>
      <c r="E60" s="311">
        <f t="shared" si="11"/>
        <v>0.42307692307692291</v>
      </c>
      <c r="F60" s="275">
        <v>0.26</v>
      </c>
      <c r="G60" s="311">
        <f t="shared" si="7"/>
        <v>-0.62318840579710144</v>
      </c>
      <c r="H60" s="262">
        <v>0.69000000000000006</v>
      </c>
      <c r="I60" s="281">
        <f t="shared" si="12"/>
        <v>-0.15853658536585358</v>
      </c>
      <c r="J60" s="133">
        <v>0.82</v>
      </c>
      <c r="K60" s="17"/>
      <c r="L60" s="68"/>
      <c r="M60" s="39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s="6" customFormat="1" ht="10">
      <c r="A61" s="123" t="s">
        <v>102</v>
      </c>
      <c r="B61" s="275">
        <v>0.44</v>
      </c>
      <c r="C61" s="311">
        <f t="shared" si="10"/>
        <v>0.33333333333333326</v>
      </c>
      <c r="D61" s="275">
        <v>0.33</v>
      </c>
      <c r="E61" s="311">
        <f t="shared" si="11"/>
        <v>3.125</v>
      </c>
      <c r="F61" s="275">
        <v>0.08</v>
      </c>
      <c r="G61" s="311">
        <f t="shared" si="7"/>
        <v>-0.4285714285714286</v>
      </c>
      <c r="H61" s="262">
        <v>0.14000000000000001</v>
      </c>
      <c r="I61" s="281">
        <f t="shared" si="12"/>
        <v>-0.2222222222222221</v>
      </c>
      <c r="J61" s="133">
        <v>0.18</v>
      </c>
      <c r="K61" s="17"/>
      <c r="L61" s="68"/>
      <c r="M61" s="39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s="6" customFormat="1" ht="10">
      <c r="A62" s="123" t="s">
        <v>103</v>
      </c>
      <c r="B62" s="275">
        <v>0.13</v>
      </c>
      <c r="C62" s="311">
        <f t="shared" si="10"/>
        <v>-0.58064516129032251</v>
      </c>
      <c r="D62" s="275">
        <v>0.31</v>
      </c>
      <c r="E62" s="311">
        <f t="shared" si="11"/>
        <v>0</v>
      </c>
      <c r="F62" s="275">
        <v>0.31</v>
      </c>
      <c r="G62" s="311">
        <f t="shared" si="7"/>
        <v>1.2142857142857144</v>
      </c>
      <c r="H62" s="262">
        <v>0.13999999999999999</v>
      </c>
      <c r="I62" s="281">
        <f t="shared" si="12"/>
        <v>-0.76666666666666672</v>
      </c>
      <c r="J62" s="133">
        <v>0.6</v>
      </c>
      <c r="K62" s="17"/>
      <c r="L62" s="68"/>
      <c r="M62" s="39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s="6" customFormat="1" ht="10">
      <c r="A63" s="123" t="s">
        <v>104</v>
      </c>
      <c r="B63" s="275">
        <v>13.97</v>
      </c>
      <c r="C63" s="311">
        <f t="shared" si="10"/>
        <v>6.5923913043478262</v>
      </c>
      <c r="D63" s="275">
        <v>1.84</v>
      </c>
      <c r="E63" s="311">
        <f t="shared" si="11"/>
        <v>45</v>
      </c>
      <c r="F63" s="275">
        <v>0.04</v>
      </c>
      <c r="G63" s="311">
        <f t="shared" si="7"/>
        <v>-0.92727272727272725</v>
      </c>
      <c r="H63" s="262">
        <v>0.55000000000000004</v>
      </c>
      <c r="I63" s="281">
        <f t="shared" si="12"/>
        <v>-5.1724137931034364E-2</v>
      </c>
      <c r="J63" s="133">
        <v>0.57999999999999996</v>
      </c>
      <c r="K63" s="18"/>
      <c r="L63" s="71"/>
      <c r="M63" s="39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s="6" customFormat="1" ht="10">
      <c r="A64" s="123" t="s">
        <v>105</v>
      </c>
      <c r="B64" s="277">
        <v>0.01</v>
      </c>
      <c r="C64" s="311"/>
      <c r="D64" s="277">
        <v>0</v>
      </c>
      <c r="E64" s="311">
        <f t="shared" si="11"/>
        <v>-1</v>
      </c>
      <c r="F64" s="277">
        <v>0.13</v>
      </c>
      <c r="G64" s="311">
        <f t="shared" si="7"/>
        <v>-0.86170212765957444</v>
      </c>
      <c r="H64" s="264">
        <v>0.94</v>
      </c>
      <c r="I64" s="281">
        <f t="shared" si="12"/>
        <v>-0.8041666666666667</v>
      </c>
      <c r="J64" s="135">
        <v>4.8</v>
      </c>
      <c r="K64" s="17"/>
      <c r="L64" s="7"/>
      <c r="M64" s="1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 s="6" customFormat="1" ht="10">
      <c r="A65" s="123" t="s">
        <v>106</v>
      </c>
      <c r="B65" s="277">
        <v>7.0000000000000007E-2</v>
      </c>
      <c r="C65" s="311">
        <f t="shared" si="10"/>
        <v>-0.72</v>
      </c>
      <c r="D65" s="277">
        <v>0.25</v>
      </c>
      <c r="E65" s="311">
        <f t="shared" si="11"/>
        <v>8.6956521739130377E-2</v>
      </c>
      <c r="F65" s="277">
        <v>0.23</v>
      </c>
      <c r="G65" s="311">
        <f t="shared" si="7"/>
        <v>-0.14814814814814814</v>
      </c>
      <c r="H65" s="264">
        <v>0.27</v>
      </c>
      <c r="I65" s="281">
        <f t="shared" si="12"/>
        <v>0.6875</v>
      </c>
      <c r="J65" s="135">
        <v>0.16</v>
      </c>
      <c r="K65" s="17"/>
      <c r="L65" s="7"/>
      <c r="M65" s="1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 s="6" customFormat="1" ht="10">
      <c r="A66" s="126" t="s">
        <v>86</v>
      </c>
      <c r="B66" s="188">
        <f>B44</f>
        <v>58.97</v>
      </c>
      <c r="C66" s="311">
        <f t="shared" si="10"/>
        <v>0.25095460330929154</v>
      </c>
      <c r="D66" s="188">
        <f>D44</f>
        <v>47.14</v>
      </c>
      <c r="E66" s="311">
        <f t="shared" si="11"/>
        <v>-0.25996860282574574</v>
      </c>
      <c r="F66" s="136">
        <f>F44</f>
        <v>63.7</v>
      </c>
      <c r="G66" s="311">
        <f t="shared" si="7"/>
        <v>-0.18007465568284198</v>
      </c>
      <c r="H66" s="188">
        <f>H44</f>
        <v>77.69</v>
      </c>
      <c r="I66" s="281">
        <f t="shared" si="12"/>
        <v>0.48319969453990064</v>
      </c>
      <c r="J66" s="136">
        <f>J44</f>
        <v>52.38</v>
      </c>
      <c r="K66" s="17"/>
      <c r="L66" s="68"/>
      <c r="M66" s="17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s="6" customFormat="1" ht="10">
      <c r="A67" s="126" t="s">
        <v>87</v>
      </c>
      <c r="B67" s="188">
        <f>B45</f>
        <v>26.95</v>
      </c>
      <c r="C67" s="311">
        <f t="shared" si="10"/>
        <v>-0.15649452269170583</v>
      </c>
      <c r="D67" s="188">
        <f>D45</f>
        <v>31.95</v>
      </c>
      <c r="E67" s="311">
        <f t="shared" si="11"/>
        <v>-0.11789066813914961</v>
      </c>
      <c r="F67" s="136">
        <f>F45</f>
        <v>36.22</v>
      </c>
      <c r="G67" s="311">
        <f t="shared" si="7"/>
        <v>3.6634230108757881E-2</v>
      </c>
      <c r="H67" s="188">
        <f>H45</f>
        <v>34.94</v>
      </c>
      <c r="I67" s="281">
        <f t="shared" si="12"/>
        <v>7.772979642196165E-2</v>
      </c>
      <c r="J67" s="136">
        <f>J45</f>
        <v>32.42</v>
      </c>
      <c r="K67" s="17"/>
      <c r="L67" s="68"/>
      <c r="M67" s="17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s="2" customFormat="1" ht="10.5">
      <c r="A68" s="126" t="s">
        <v>107</v>
      </c>
      <c r="B68" s="187">
        <f>B46+B47+B48+B49+B50+B51+B52+B53+B54+B55</f>
        <v>37.970000000000006</v>
      </c>
      <c r="C68" s="311">
        <f t="shared" si="10"/>
        <v>0.61231422505307842</v>
      </c>
      <c r="D68" s="187">
        <f>D46+D47+D48+D49+D50+D51+D52+D53+D54+D55</f>
        <v>23.550000000000004</v>
      </c>
      <c r="E68" s="311">
        <f t="shared" si="11"/>
        <v>0.1376811594202898</v>
      </c>
      <c r="F68" s="134">
        <f>F46+F47+F48+F49+F50+F51+F52+F53+F54+F55</f>
        <v>20.700000000000003</v>
      </c>
      <c r="G68" s="311">
        <f t="shared" si="7"/>
        <v>-0.20598388952819313</v>
      </c>
      <c r="H68" s="187">
        <f>H46+H47+H48+H49+H50+H51+H52+H53+H54+H55</f>
        <v>26.069999999999997</v>
      </c>
      <c r="I68" s="281">
        <f t="shared" si="12"/>
        <v>-0.32056293979671635</v>
      </c>
      <c r="J68" s="134">
        <f>J46+J47+J48+J49+J50+J51+J52+J53+J54+J55</f>
        <v>38.370000000000005</v>
      </c>
      <c r="K68" s="12"/>
      <c r="L68" s="68"/>
      <c r="M68" s="12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s="2" customFormat="1" ht="10.5">
      <c r="A69" s="126" t="s">
        <v>108</v>
      </c>
      <c r="B69" s="187">
        <f>B56+B57+B58+B59+B60+B61</f>
        <v>6.61</v>
      </c>
      <c r="C69" s="311">
        <f t="shared" si="10"/>
        <v>-0.38796296296296284</v>
      </c>
      <c r="D69" s="187">
        <f>D56+D57+D58+D59+D60+D61</f>
        <v>10.799999999999999</v>
      </c>
      <c r="E69" s="311">
        <f t="shared" si="11"/>
        <v>-2.4390243902438935E-2</v>
      </c>
      <c r="F69" s="134">
        <f>F56+F57+F58+F59+F60+F61</f>
        <v>11.069999999999999</v>
      </c>
      <c r="G69" s="311">
        <f t="shared" si="7"/>
        <v>-0.43664122137404593</v>
      </c>
      <c r="H69" s="187">
        <f>H56+H57+H58+H59+H60+H61</f>
        <v>19.650000000000002</v>
      </c>
      <c r="I69" s="281">
        <f t="shared" si="12"/>
        <v>1.8854625550660793</v>
      </c>
      <c r="J69" s="134">
        <f>J56+J57+J58+J59+J60+J61</f>
        <v>6.8100000000000005</v>
      </c>
      <c r="K69" s="12"/>
      <c r="L69" s="68"/>
      <c r="M69" s="12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s="6" customFormat="1" ht="10">
      <c r="A70" s="126" t="s">
        <v>109</v>
      </c>
      <c r="B70" s="187">
        <f>B62+B63+B64+B65</f>
        <v>14.180000000000001</v>
      </c>
      <c r="C70" s="311">
        <f t="shared" si="10"/>
        <v>4.9083333333333341</v>
      </c>
      <c r="D70" s="187">
        <f>D62+D63+D64+D65</f>
        <v>2.4</v>
      </c>
      <c r="E70" s="311">
        <f t="shared" si="11"/>
        <v>2.380281690140845</v>
      </c>
      <c r="F70" s="134">
        <f>F62+F63+F64+F65</f>
        <v>0.71</v>
      </c>
      <c r="G70" s="311">
        <f t="shared" si="7"/>
        <v>-0.62631578947368416</v>
      </c>
      <c r="H70" s="187">
        <f>H62+H63+H64+H65</f>
        <v>1.9</v>
      </c>
      <c r="I70" s="281">
        <f t="shared" si="12"/>
        <v>-0.69055374592833874</v>
      </c>
      <c r="J70" s="134">
        <f>J62+J63+J64+J65</f>
        <v>6.14</v>
      </c>
      <c r="K70" s="12"/>
      <c r="L70" s="68"/>
      <c r="M70" s="12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s="60" customFormat="1" ht="10.4" customHeight="1">
      <c r="A71" s="129" t="s">
        <v>113</v>
      </c>
      <c r="B71" s="265">
        <f>SUM(B66:B70)</f>
        <v>144.68000000000004</v>
      </c>
      <c r="C71" s="310">
        <f t="shared" si="10"/>
        <v>0.24896408839779016</v>
      </c>
      <c r="D71" s="265">
        <f>SUM(D66:D70)</f>
        <v>115.84000000000002</v>
      </c>
      <c r="E71" s="310">
        <f t="shared" si="11"/>
        <v>-0.12507552870090621</v>
      </c>
      <c r="F71" s="137">
        <f>SUM(F66:F70)</f>
        <v>132.4</v>
      </c>
      <c r="G71" s="310">
        <f t="shared" si="7"/>
        <v>-0.17379095163806546</v>
      </c>
      <c r="H71" s="265">
        <f>SUM(H66:H70)</f>
        <v>160.25</v>
      </c>
      <c r="I71" s="282">
        <f t="shared" si="12"/>
        <v>0.17727005583308841</v>
      </c>
      <c r="J71" s="137">
        <f>SUM(J66:J70)</f>
        <v>136.12</v>
      </c>
    </row>
    <row r="72" spans="1:24" ht="10.4" customHeight="1">
      <c r="A72" s="123"/>
      <c r="B72" s="126"/>
      <c r="C72" s="311"/>
      <c r="D72" s="126"/>
      <c r="E72" s="311"/>
      <c r="F72" s="126"/>
      <c r="G72" s="311"/>
      <c r="H72" s="126"/>
      <c r="I72" s="126"/>
      <c r="J72" s="126"/>
    </row>
    <row r="73" spans="1:24" ht="10.4" customHeight="1">
      <c r="A73" s="138" t="s">
        <v>2</v>
      </c>
      <c r="B73" s="139"/>
      <c r="C73" s="311"/>
      <c r="D73" s="139"/>
      <c r="E73" s="311"/>
      <c r="F73" s="139"/>
      <c r="G73" s="311"/>
      <c r="H73" s="139"/>
      <c r="I73" s="139"/>
      <c r="J73" s="139"/>
    </row>
    <row r="74" spans="1:24" s="2" customFormat="1" ht="10.5">
      <c r="A74" s="123" t="s">
        <v>86</v>
      </c>
      <c r="B74" s="348">
        <v>3.17</v>
      </c>
      <c r="C74" s="311">
        <f t="shared" ref="C74:C81" si="13">IF((+B74/D74)&lt;0,"n.m.",IF(B74&lt;0,(+B74/D74-1)*-1,(+B74/D74-1)))</f>
        <v>1.3308823529411762</v>
      </c>
      <c r="D74" s="348">
        <v>1.36</v>
      </c>
      <c r="E74" s="311">
        <f t="shared" ref="E74:E101" si="14">IF((+D74/F74)&lt;0,"n.m.",IF(D74&lt;0,(+D74/F74-1)*-1,(+D74/F74-1)))</f>
        <v>-0.44715447154471544</v>
      </c>
      <c r="F74" s="275">
        <v>2.46</v>
      </c>
      <c r="G74" s="311">
        <f t="shared" si="7"/>
        <v>-0.59203980099502496</v>
      </c>
      <c r="H74" s="275">
        <v>6.03</v>
      </c>
      <c r="I74" s="281">
        <f t="shared" ref="I74:I101" si="15">IF((+H74/J74)&lt;0,"n.m.",IF(H74&lt;0,(+H74/J74-1)*-1,(+H74/J74-1)))</f>
        <v>0.21084337349397586</v>
      </c>
      <c r="J74" s="133">
        <v>4.9800000000000004</v>
      </c>
      <c r="K74" s="17"/>
      <c r="L74" s="68"/>
      <c r="M74" s="39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s="2" customFormat="1" ht="10.5">
      <c r="A75" s="123" t="s">
        <v>87</v>
      </c>
      <c r="B75" s="348">
        <v>0.06</v>
      </c>
      <c r="C75" s="311">
        <f t="shared" si="13"/>
        <v>-0.6470588235294118</v>
      </c>
      <c r="D75" s="348">
        <v>0.17</v>
      </c>
      <c r="E75" s="311">
        <f t="shared" si="14"/>
        <v>-0.65999999999999992</v>
      </c>
      <c r="F75" s="275">
        <v>0.5</v>
      </c>
      <c r="G75" s="311">
        <f t="shared" si="7"/>
        <v>-0.13793103448275856</v>
      </c>
      <c r="H75" s="275">
        <v>0.57999999999999996</v>
      </c>
      <c r="I75" s="281">
        <f t="shared" si="15"/>
        <v>3.1428571428571423</v>
      </c>
      <c r="J75" s="133">
        <v>0.14000000000000001</v>
      </c>
      <c r="K75" s="17"/>
      <c r="L75" s="68"/>
      <c r="M75" s="39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s="2" customFormat="1" ht="10.5">
      <c r="A76" s="123" t="s">
        <v>88</v>
      </c>
      <c r="B76" s="348">
        <v>0</v>
      </c>
      <c r="C76" s="311">
        <f t="shared" si="13"/>
        <v>-1</v>
      </c>
      <c r="D76" s="348">
        <v>0.06</v>
      </c>
      <c r="E76" s="311">
        <f t="shared" si="14"/>
        <v>-0.952755905511811</v>
      </c>
      <c r="F76" s="275">
        <v>1.27</v>
      </c>
      <c r="G76" s="311">
        <f t="shared" si="7"/>
        <v>126</v>
      </c>
      <c r="H76" s="275">
        <v>0.01</v>
      </c>
      <c r="I76" s="281">
        <f t="shared" si="15"/>
        <v>-0.967741935483871</v>
      </c>
      <c r="J76" s="133">
        <v>0.31</v>
      </c>
      <c r="K76" s="17"/>
      <c r="L76" s="68"/>
      <c r="M76" s="39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s="2" customFormat="1" ht="10.5">
      <c r="A77" s="123" t="s">
        <v>89</v>
      </c>
      <c r="B77" s="348">
        <v>0.31</v>
      </c>
      <c r="C77" s="311">
        <f t="shared" si="13"/>
        <v>0.19230769230769229</v>
      </c>
      <c r="D77" s="348">
        <v>0.26</v>
      </c>
      <c r="E77" s="311">
        <f t="shared" si="14"/>
        <v>-0.60606060606060608</v>
      </c>
      <c r="F77" s="275">
        <v>0.66</v>
      </c>
      <c r="G77" s="311">
        <f t="shared" ref="G77:G101" si="16">IF((+F77/H77)&lt;0,"n.m.",IF(F77&lt;0,(+F77/H77-1)*-1,(+F77/H77-1)))</f>
        <v>0.29411764705882359</v>
      </c>
      <c r="H77" s="275">
        <v>0.51</v>
      </c>
      <c r="I77" s="281">
        <f t="shared" si="15"/>
        <v>0.8214285714285714</v>
      </c>
      <c r="J77" s="133">
        <v>0.28000000000000003</v>
      </c>
      <c r="K77" s="17"/>
      <c r="L77" s="68"/>
      <c r="M77" s="39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s="6" customFormat="1" ht="10">
      <c r="A78" s="123" t="s">
        <v>90</v>
      </c>
      <c r="B78" s="348">
        <v>0</v>
      </c>
      <c r="C78" s="311"/>
      <c r="D78" s="348">
        <v>0</v>
      </c>
      <c r="E78" s="311"/>
      <c r="F78" s="275">
        <v>0</v>
      </c>
      <c r="G78" s="311"/>
      <c r="H78" s="275">
        <v>0</v>
      </c>
      <c r="I78" s="281"/>
      <c r="J78" s="133">
        <v>0</v>
      </c>
      <c r="K78" s="17"/>
      <c r="L78" s="68"/>
      <c r="M78" s="39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s="6" customFormat="1" ht="10">
      <c r="A79" s="123" t="s">
        <v>132</v>
      </c>
      <c r="B79" s="348">
        <v>0</v>
      </c>
      <c r="C79" s="311"/>
      <c r="D79" s="348">
        <v>0</v>
      </c>
      <c r="E79" s="311"/>
      <c r="F79" s="275">
        <v>0</v>
      </c>
      <c r="G79" s="311"/>
      <c r="H79" s="275">
        <v>0</v>
      </c>
      <c r="I79" s="281"/>
      <c r="J79" s="133">
        <v>0</v>
      </c>
      <c r="K79" s="17"/>
      <c r="L79" s="68"/>
      <c r="M79" s="39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s="6" customFormat="1" ht="10">
      <c r="A80" s="123" t="s">
        <v>91</v>
      </c>
      <c r="B80" s="348">
        <v>0.13</v>
      </c>
      <c r="C80" s="311">
        <f t="shared" si="13"/>
        <v>-0.5185185185185186</v>
      </c>
      <c r="D80" s="348">
        <v>0.27</v>
      </c>
      <c r="E80" s="311">
        <f t="shared" si="14"/>
        <v>-0.22857142857142865</v>
      </c>
      <c r="F80" s="275">
        <v>0.35000000000000003</v>
      </c>
      <c r="G80" s="311">
        <f t="shared" si="16"/>
        <v>34</v>
      </c>
      <c r="H80" s="275">
        <v>0.01</v>
      </c>
      <c r="I80" s="281">
        <f t="shared" si="15"/>
        <v>-0.875</v>
      </c>
      <c r="J80" s="133">
        <v>0.08</v>
      </c>
      <c r="K80" s="17"/>
      <c r="L80" s="68"/>
      <c r="M80" s="39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24" s="6" customFormat="1" ht="10">
      <c r="A81" s="123" t="s">
        <v>92</v>
      </c>
      <c r="B81" s="348">
        <v>0.01</v>
      </c>
      <c r="C81" s="311">
        <f t="shared" si="13"/>
        <v>-0.66666666666666663</v>
      </c>
      <c r="D81" s="348">
        <v>0.03</v>
      </c>
      <c r="E81" s="311">
        <f t="shared" si="14"/>
        <v>0.5</v>
      </c>
      <c r="F81" s="275">
        <v>0.02</v>
      </c>
      <c r="G81" s="311">
        <f t="shared" si="16"/>
        <v>1</v>
      </c>
      <c r="H81" s="275">
        <v>0.01</v>
      </c>
      <c r="I81" s="281">
        <f t="shared" si="15"/>
        <v>-0.5</v>
      </c>
      <c r="J81" s="133">
        <v>0.02</v>
      </c>
      <c r="K81" s="17"/>
      <c r="L81" s="68"/>
      <c r="M81" s="39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1:24" s="6" customFormat="1" ht="10">
      <c r="A82" s="123" t="s">
        <v>93</v>
      </c>
      <c r="B82" s="348">
        <v>0</v>
      </c>
      <c r="C82" s="311"/>
      <c r="D82" s="348">
        <v>0</v>
      </c>
      <c r="E82" s="311"/>
      <c r="F82" s="275">
        <v>0</v>
      </c>
      <c r="G82" s="311"/>
      <c r="H82" s="275">
        <v>0</v>
      </c>
      <c r="I82" s="281"/>
      <c r="J82" s="133">
        <v>0</v>
      </c>
      <c r="K82" s="17"/>
      <c r="L82" s="68"/>
      <c r="M82" s="39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1:24" s="6" customFormat="1" ht="10">
      <c r="A83" s="123" t="s">
        <v>94</v>
      </c>
      <c r="B83" s="348">
        <v>0</v>
      </c>
      <c r="C83" s="311"/>
      <c r="D83" s="348">
        <v>0</v>
      </c>
      <c r="E83" s="311"/>
      <c r="F83" s="275">
        <v>0</v>
      </c>
      <c r="G83" s="311"/>
      <c r="H83" s="275">
        <v>0</v>
      </c>
      <c r="I83" s="281"/>
      <c r="J83" s="133">
        <v>0</v>
      </c>
      <c r="K83" s="17"/>
      <c r="L83" s="68"/>
      <c r="M83" s="39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s="6" customFormat="1" ht="10">
      <c r="A84" s="123" t="s">
        <v>95</v>
      </c>
      <c r="B84" s="348">
        <v>0</v>
      </c>
      <c r="C84" s="311"/>
      <c r="D84" s="348">
        <v>0</v>
      </c>
      <c r="E84" s="311"/>
      <c r="F84" s="275">
        <v>0</v>
      </c>
      <c r="G84" s="311"/>
      <c r="H84" s="275">
        <v>0</v>
      </c>
      <c r="I84" s="281"/>
      <c r="J84" s="133">
        <v>0</v>
      </c>
      <c r="K84" s="17"/>
      <c r="L84" s="68"/>
      <c r="M84" s="39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1:24" s="6" customFormat="1" ht="10">
      <c r="A85" s="123" t="s">
        <v>96</v>
      </c>
      <c r="B85" s="348">
        <v>0</v>
      </c>
      <c r="C85" s="311"/>
      <c r="D85" s="348">
        <v>0</v>
      </c>
      <c r="E85" s="311"/>
      <c r="F85" s="275">
        <v>0</v>
      </c>
      <c r="G85" s="311"/>
      <c r="H85" s="275">
        <v>0</v>
      </c>
      <c r="I85" s="281"/>
      <c r="J85" s="133">
        <v>0</v>
      </c>
      <c r="K85" s="17"/>
      <c r="L85" s="68"/>
      <c r="M85" s="39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1:24" s="6" customFormat="1" ht="10">
      <c r="A86" s="123" t="s">
        <v>97</v>
      </c>
      <c r="B86" s="348">
        <v>0</v>
      </c>
      <c r="C86" s="311"/>
      <c r="D86" s="348">
        <v>0</v>
      </c>
      <c r="E86" s="311"/>
      <c r="F86" s="275">
        <v>0</v>
      </c>
      <c r="G86" s="311"/>
      <c r="H86" s="275">
        <v>0</v>
      </c>
      <c r="I86" s="281">
        <f t="shared" si="15"/>
        <v>-1</v>
      </c>
      <c r="J86" s="133">
        <v>0.14000000000000001</v>
      </c>
      <c r="K86" s="17"/>
      <c r="L86" s="68"/>
      <c r="M86" s="39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s="6" customFormat="1" ht="10">
      <c r="A87" s="123" t="s">
        <v>98</v>
      </c>
      <c r="B87" s="348">
        <v>0</v>
      </c>
      <c r="C87" s="311"/>
      <c r="D87" s="348">
        <v>0</v>
      </c>
      <c r="E87" s="311"/>
      <c r="F87" s="187">
        <v>0</v>
      </c>
      <c r="G87" s="311"/>
      <c r="H87" s="276">
        <v>0</v>
      </c>
      <c r="I87" s="281"/>
      <c r="J87" s="134">
        <v>0</v>
      </c>
      <c r="K87" s="17"/>
      <c r="L87" s="68"/>
      <c r="M87" s="39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1:24" s="6" customFormat="1" ht="10">
      <c r="A88" s="123" t="s">
        <v>99</v>
      </c>
      <c r="B88" s="348">
        <v>0</v>
      </c>
      <c r="C88" s="311"/>
      <c r="D88" s="348">
        <v>0</v>
      </c>
      <c r="E88" s="311">
        <f t="shared" si="14"/>
        <v>-1</v>
      </c>
      <c r="F88" s="275">
        <v>0.05</v>
      </c>
      <c r="G88" s="311">
        <f t="shared" si="16"/>
        <v>-0.54545454545454541</v>
      </c>
      <c r="H88" s="275">
        <v>0.11</v>
      </c>
      <c r="I88" s="281">
        <f t="shared" si="15"/>
        <v>10</v>
      </c>
      <c r="J88" s="133">
        <v>0.01</v>
      </c>
      <c r="K88" s="17"/>
      <c r="L88" s="68"/>
      <c r="M88" s="39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1:24" s="2" customFormat="1" ht="10.5">
      <c r="A89" s="123" t="s">
        <v>100</v>
      </c>
      <c r="B89" s="348">
        <v>0</v>
      </c>
      <c r="C89" s="311"/>
      <c r="D89" s="348">
        <v>0</v>
      </c>
      <c r="E89" s="311"/>
      <c r="F89" s="275">
        <v>0</v>
      </c>
      <c r="G89" s="311"/>
      <c r="H89" s="275">
        <v>0</v>
      </c>
      <c r="I89" s="281"/>
      <c r="J89" s="133">
        <v>0</v>
      </c>
      <c r="K89" s="17"/>
      <c r="L89" s="68"/>
      <c r="M89" s="39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s="6" customFormat="1" ht="10">
      <c r="A90" s="123" t="s">
        <v>101</v>
      </c>
      <c r="B90" s="348">
        <v>0</v>
      </c>
      <c r="C90" s="311"/>
      <c r="D90" s="348">
        <v>0</v>
      </c>
      <c r="E90" s="311"/>
      <c r="F90" s="275">
        <v>0</v>
      </c>
      <c r="G90" s="311"/>
      <c r="H90" s="275">
        <v>0</v>
      </c>
      <c r="I90" s="281"/>
      <c r="J90" s="133">
        <v>0</v>
      </c>
      <c r="K90" s="17"/>
      <c r="L90" s="68"/>
      <c r="M90" s="39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s="6" customFormat="1" ht="10">
      <c r="A91" s="123" t="s">
        <v>102</v>
      </c>
      <c r="B91" s="348">
        <v>0</v>
      </c>
      <c r="C91" s="311"/>
      <c r="D91" s="348">
        <v>0</v>
      </c>
      <c r="E91" s="311"/>
      <c r="F91" s="275">
        <v>0</v>
      </c>
      <c r="G91" s="311"/>
      <c r="H91" s="275">
        <v>0</v>
      </c>
      <c r="I91" s="281"/>
      <c r="J91" s="133">
        <v>0</v>
      </c>
      <c r="K91" s="17"/>
      <c r="L91" s="68"/>
      <c r="M91" s="39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spans="1:24" s="6" customFormat="1" ht="10">
      <c r="A92" s="123" t="s">
        <v>103</v>
      </c>
      <c r="B92" s="348">
        <v>0</v>
      </c>
      <c r="C92" s="311"/>
      <c r="D92" s="348">
        <v>0</v>
      </c>
      <c r="E92" s="311"/>
      <c r="F92" s="275">
        <v>0</v>
      </c>
      <c r="G92" s="311">
        <f t="shared" si="16"/>
        <v>-1</v>
      </c>
      <c r="H92" s="275">
        <v>0.49</v>
      </c>
      <c r="I92" s="281">
        <f t="shared" si="15"/>
        <v>0.19512195121951215</v>
      </c>
      <c r="J92" s="133">
        <v>0.41</v>
      </c>
      <c r="K92" s="17"/>
      <c r="L92" s="68"/>
      <c r="M92" s="39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1:24" s="6" customFormat="1" ht="10">
      <c r="A93" s="123" t="s">
        <v>104</v>
      </c>
      <c r="B93" s="348">
        <v>0</v>
      </c>
      <c r="C93" s="311"/>
      <c r="D93" s="348">
        <v>0</v>
      </c>
      <c r="E93" s="311">
        <f t="shared" si="14"/>
        <v>-1</v>
      </c>
      <c r="F93" s="275">
        <v>0.02</v>
      </c>
      <c r="G93" s="311"/>
      <c r="H93" s="275">
        <v>0</v>
      </c>
      <c r="I93" s="281">
        <f t="shared" si="15"/>
        <v>-1</v>
      </c>
      <c r="J93" s="133">
        <v>0.08</v>
      </c>
      <c r="K93" s="18"/>
      <c r="L93" s="71"/>
      <c r="M93" s="39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1:24" s="6" customFormat="1" ht="10">
      <c r="A94" s="123" t="s">
        <v>105</v>
      </c>
      <c r="B94" s="355">
        <v>0</v>
      </c>
      <c r="C94" s="311"/>
      <c r="D94" s="355">
        <v>0</v>
      </c>
      <c r="E94" s="311"/>
      <c r="F94" s="277">
        <v>0</v>
      </c>
      <c r="G94" s="311"/>
      <c r="H94" s="277">
        <v>0</v>
      </c>
      <c r="I94" s="281"/>
      <c r="J94" s="135">
        <v>0</v>
      </c>
      <c r="K94" s="17"/>
      <c r="L94" s="7"/>
      <c r="M94" s="17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1:24" s="6" customFormat="1" ht="10">
      <c r="A95" s="123" t="s">
        <v>106</v>
      </c>
      <c r="B95" s="355">
        <v>0</v>
      </c>
      <c r="C95" s="311"/>
      <c r="D95" s="355">
        <v>0</v>
      </c>
      <c r="E95" s="311"/>
      <c r="F95" s="277">
        <v>0</v>
      </c>
      <c r="G95" s="311">
        <f t="shared" si="16"/>
        <v>-1</v>
      </c>
      <c r="H95" s="277">
        <v>0.05</v>
      </c>
      <c r="I95" s="281"/>
      <c r="J95" s="135">
        <v>0</v>
      </c>
      <c r="K95" s="17"/>
      <c r="L95" s="7"/>
      <c r="M95" s="17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1:24" s="6" customFormat="1" ht="10">
      <c r="A96" s="126" t="s">
        <v>86</v>
      </c>
      <c r="B96" s="188">
        <f>B74</f>
        <v>3.17</v>
      </c>
      <c r="C96" s="311">
        <f t="shared" ref="C96:C101" si="17">IF((+B96/D96)&lt;0,"n.m.",IF(B96&lt;0,(+B96/D96-1)*-1,(+B96/D96-1)))</f>
        <v>1.3308823529411762</v>
      </c>
      <c r="D96" s="188">
        <f>D74</f>
        <v>1.36</v>
      </c>
      <c r="E96" s="311">
        <f t="shared" si="14"/>
        <v>-0.44715447154471544</v>
      </c>
      <c r="F96" s="136">
        <f>F74</f>
        <v>2.46</v>
      </c>
      <c r="G96" s="311">
        <f t="shared" si="16"/>
        <v>-0.59203980099502496</v>
      </c>
      <c r="H96" s="188">
        <f>H74</f>
        <v>6.03</v>
      </c>
      <c r="I96" s="281">
        <f t="shared" si="15"/>
        <v>0.21084337349397586</v>
      </c>
      <c r="J96" s="136">
        <f>J74</f>
        <v>4.9800000000000004</v>
      </c>
      <c r="K96" s="17"/>
      <c r="L96" s="68"/>
      <c r="M96" s="17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spans="1:24" s="6" customFormat="1" ht="10">
      <c r="A97" s="126" t="s">
        <v>87</v>
      </c>
      <c r="B97" s="188">
        <f>B75</f>
        <v>0.06</v>
      </c>
      <c r="C97" s="311">
        <f t="shared" si="17"/>
        <v>-0.6470588235294118</v>
      </c>
      <c r="D97" s="188">
        <f>D75</f>
        <v>0.17</v>
      </c>
      <c r="E97" s="311">
        <f t="shared" si="14"/>
        <v>-0.65999999999999992</v>
      </c>
      <c r="F97" s="136">
        <f>F75</f>
        <v>0.5</v>
      </c>
      <c r="G97" s="311">
        <f t="shared" si="16"/>
        <v>-0.13793103448275856</v>
      </c>
      <c r="H97" s="188">
        <f>H75</f>
        <v>0.57999999999999996</v>
      </c>
      <c r="I97" s="281">
        <f t="shared" si="15"/>
        <v>3.1428571428571423</v>
      </c>
      <c r="J97" s="136">
        <f>J75</f>
        <v>0.14000000000000001</v>
      </c>
      <c r="K97" s="17"/>
      <c r="L97" s="68"/>
      <c r="M97" s="17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1:24" s="2" customFormat="1" ht="10.5">
      <c r="A98" s="126" t="s">
        <v>107</v>
      </c>
      <c r="B98" s="187">
        <f>B76+B77+B78+B79+B80+B81+B82+B83+B84+B85</f>
        <v>0.45</v>
      </c>
      <c r="C98" s="311">
        <f t="shared" si="17"/>
        <v>-0.27419354838709686</v>
      </c>
      <c r="D98" s="187">
        <f>D76+D77+D78+D79+D80+D81+D82+D83+D84+D85</f>
        <v>0.62000000000000011</v>
      </c>
      <c r="E98" s="311">
        <f t="shared" si="14"/>
        <v>-0.73043478260869565</v>
      </c>
      <c r="F98" s="134">
        <f>F76+F77+F78+F79+F80+F81+F82+F83+F84+F85</f>
        <v>2.3000000000000003</v>
      </c>
      <c r="G98" s="311">
        <f t="shared" si="16"/>
        <v>3.2592592592592595</v>
      </c>
      <c r="H98" s="187">
        <f>H76+H77+H78+H79+H80+H81+H82+H83+H84+H85</f>
        <v>0.54</v>
      </c>
      <c r="I98" s="281">
        <f t="shared" si="15"/>
        <v>-0.21739130434782605</v>
      </c>
      <c r="J98" s="134">
        <f>J76+J77+J78+J79+J80+J81+J82+J83+J84+J85</f>
        <v>0.69000000000000006</v>
      </c>
      <c r="K98" s="12"/>
      <c r="L98" s="68"/>
      <c r="M98" s="12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s="2" customFormat="1" ht="10.5">
      <c r="A99" s="126" t="s">
        <v>108</v>
      </c>
      <c r="B99" s="187">
        <f>B86+B87+B88+B89+B90+B91</f>
        <v>0</v>
      </c>
      <c r="C99" s="311"/>
      <c r="D99" s="187">
        <f>D86+D87+D88+D89+D90+D91</f>
        <v>0</v>
      </c>
      <c r="E99" s="311">
        <f t="shared" si="14"/>
        <v>-1</v>
      </c>
      <c r="F99" s="134">
        <f>F86+F87+F88+F89+F90+F91</f>
        <v>0.05</v>
      </c>
      <c r="G99" s="311">
        <f t="shared" si="16"/>
        <v>-0.54545454545454541</v>
      </c>
      <c r="H99" s="187">
        <f>H86+H87+H88+H89+H90+H91</f>
        <v>0.11</v>
      </c>
      <c r="I99" s="281">
        <f t="shared" si="15"/>
        <v>-0.26666666666666672</v>
      </c>
      <c r="J99" s="134">
        <f>J86+J87+J88+J89+J90+J91</f>
        <v>0.15000000000000002</v>
      </c>
      <c r="K99" s="12"/>
      <c r="L99" s="68"/>
      <c r="M99" s="12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s="6" customFormat="1" ht="10">
      <c r="A100" s="126" t="s">
        <v>109</v>
      </c>
      <c r="B100" s="187">
        <f>B92+B93+B94+B95</f>
        <v>0</v>
      </c>
      <c r="C100" s="311"/>
      <c r="D100" s="187">
        <f>D92+D93+D94+D95</f>
        <v>0</v>
      </c>
      <c r="E100" s="311">
        <f t="shared" si="14"/>
        <v>-1</v>
      </c>
      <c r="F100" s="134">
        <f>F92+F93+F94+F95</f>
        <v>0.02</v>
      </c>
      <c r="G100" s="311">
        <f t="shared" si="16"/>
        <v>-0.96296296296296302</v>
      </c>
      <c r="H100" s="293">
        <f>H92+H93+H94+H95</f>
        <v>0.54</v>
      </c>
      <c r="I100" s="281">
        <f t="shared" si="15"/>
        <v>0.10204081632653073</v>
      </c>
      <c r="J100" s="293">
        <f>J92+J93+J94+J95</f>
        <v>0.49</v>
      </c>
      <c r="K100" s="12"/>
      <c r="L100" s="68"/>
      <c r="M100" s="12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1:24" s="60" customFormat="1" ht="10.4" customHeight="1">
      <c r="A101" s="115" t="s">
        <v>114</v>
      </c>
      <c r="B101" s="272">
        <f>SUM(B96:B100)</f>
        <v>3.68</v>
      </c>
      <c r="C101" s="310">
        <f t="shared" si="17"/>
        <v>0.71162790697674394</v>
      </c>
      <c r="D101" s="272">
        <f>SUM(D96:D100)</f>
        <v>2.1500000000000004</v>
      </c>
      <c r="E101" s="310">
        <f t="shared" si="14"/>
        <v>-0.59662288930581608</v>
      </c>
      <c r="F101" s="116">
        <f>SUM(F96:F100)</f>
        <v>5.3299999999999992</v>
      </c>
      <c r="G101" s="310">
        <f t="shared" si="16"/>
        <v>-0.31666666666666687</v>
      </c>
      <c r="H101" s="272">
        <f>SUM(H96:H100)</f>
        <v>7.8000000000000007</v>
      </c>
      <c r="I101" s="146">
        <f t="shared" si="15"/>
        <v>0.20930232558139528</v>
      </c>
      <c r="J101" s="272">
        <f>SUM(J96:J100)</f>
        <v>6.4500000000000011</v>
      </c>
    </row>
    <row r="102" spans="1:24" ht="12" customHeight="1">
      <c r="C102" s="121"/>
      <c r="E102" s="121"/>
      <c r="G102" s="121"/>
    </row>
  </sheetData>
  <mergeCells count="1">
    <mergeCell ref="A9:A10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0" fitToHeight="0" orientation="landscape" r:id="rId1"/>
  <headerFooter alignWithMargins="0">
    <oddHeader>&amp;A</oddHeader>
  </headerFooter>
  <rowBreaks count="2" manualBreakCount="2">
    <brk id="42" max="10" man="1"/>
    <brk id="7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Group</vt:lpstr>
      <vt:lpstr>North + West</vt:lpstr>
      <vt:lpstr>South + East</vt:lpstr>
      <vt:lpstr>Intern.+ Special Divisions</vt:lpstr>
      <vt:lpstr>Other</vt:lpstr>
      <vt:lpstr>Group!Druckbereich</vt:lpstr>
      <vt:lpstr>'Intern.+ Special Divisions'!Druckbereich</vt:lpstr>
      <vt:lpstr>'North + West'!Druckbereich</vt:lpstr>
      <vt:lpstr>Other!Druckbereich</vt:lpstr>
      <vt:lpstr>'South + East'!Druckbereich</vt:lpstr>
      <vt:lpstr>Group!Drucktitel</vt:lpstr>
      <vt:lpstr>'Intern.+ Special Divisions'!Drucktitel</vt:lpstr>
      <vt:lpstr>'North + West'!Drucktitel</vt:lpstr>
      <vt:lpstr>Other!Drucktitel</vt:lpstr>
      <vt:lpstr>'South + East'!Drucktitel</vt:lpstr>
    </vt:vector>
  </TitlesOfParts>
  <Company>BRVZ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Diana Neumueller-Klein</cp:lastModifiedBy>
  <cp:lastPrinted>2020-04-24T15:21:59Z</cp:lastPrinted>
  <dcterms:created xsi:type="dcterms:W3CDTF">2015-02-10T08:20:45Z</dcterms:created>
  <dcterms:modified xsi:type="dcterms:W3CDTF">2020-04-24T15:22:02Z</dcterms:modified>
</cp:coreProperties>
</file>