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Group!$A$1:$M$216</definedName>
    <definedName name="_xlnm.Print_Area" localSheetId="3">'International + Special Divisio'!$A$1:$M$101</definedName>
    <definedName name="_xlnm.Print_Area" localSheetId="1">'North + West'!$A$1:$M$101</definedName>
    <definedName name="_xlnm.Print_Area" localSheetId="4">Other!$A$1:$M$101</definedName>
    <definedName name="_xlnm.Print_Area" localSheetId="2">'South + East'!$A$1:$M$101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Group!$O$1</definedName>
  </definedNames>
  <calcPr calcId="145621"/>
</workbook>
</file>

<file path=xl/calcChain.xml><?xml version="1.0" encoding="utf-8"?>
<calcChain xmlns="http://schemas.openxmlformats.org/spreadsheetml/2006/main">
  <c r="M10" i="5" l="1"/>
  <c r="I9" i="3" l="1"/>
  <c r="I10" i="3"/>
  <c r="G10" i="3"/>
  <c r="G9" i="3"/>
  <c r="G10" i="4"/>
  <c r="G9" i="4"/>
  <c r="G9" i="2"/>
  <c r="B123" i="1" l="1"/>
  <c r="B113" i="1"/>
  <c r="B112" i="1"/>
  <c r="B76" i="1"/>
  <c r="E76" i="1"/>
  <c r="D76" i="1"/>
  <c r="B66" i="1" l="1"/>
  <c r="B22" i="1"/>
  <c r="B18" i="1"/>
  <c r="B71" i="1" l="1"/>
  <c r="C9" i="5"/>
  <c r="B8" i="5"/>
  <c r="B10" i="3"/>
  <c r="B9" i="3"/>
  <c r="B8" i="3"/>
  <c r="C5" i="5" l="1"/>
  <c r="C6" i="5"/>
  <c r="C7" i="5"/>
  <c r="C5" i="3"/>
  <c r="C6" i="3"/>
  <c r="C7" i="3"/>
  <c r="C4" i="3"/>
  <c r="C3" i="3"/>
  <c r="B4" i="3"/>
  <c r="B3" i="3"/>
  <c r="C7" i="4" l="1"/>
  <c r="C6" i="4"/>
  <c r="C5" i="4"/>
  <c r="C4" i="4"/>
  <c r="C3" i="4"/>
  <c r="B10" i="4"/>
  <c r="B9" i="4"/>
  <c r="B8" i="4"/>
  <c r="B4" i="4"/>
  <c r="B3" i="4"/>
  <c r="C45" i="2"/>
  <c r="C65" i="2"/>
  <c r="B3" i="2"/>
  <c r="B4" i="2"/>
  <c r="B8" i="2"/>
  <c r="B10" i="2"/>
  <c r="B9" i="2"/>
  <c r="C14" i="5" l="1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30" i="5"/>
  <c r="C32" i="5"/>
  <c r="C35" i="5"/>
  <c r="C36" i="5"/>
  <c r="C37" i="5"/>
  <c r="C38" i="5"/>
  <c r="C39" i="5"/>
  <c r="C40" i="5"/>
  <c r="C13" i="5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13" i="3"/>
  <c r="C35" i="4"/>
  <c r="C36" i="4"/>
  <c r="C37" i="4"/>
  <c r="C38" i="4"/>
  <c r="C39" i="4"/>
  <c r="C40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13" i="4"/>
  <c r="C45" i="5"/>
  <c r="C46" i="5"/>
  <c r="C47" i="5"/>
  <c r="C48" i="5"/>
  <c r="C49" i="5"/>
  <c r="C50" i="5"/>
  <c r="C51" i="5"/>
  <c r="C52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44" i="5"/>
  <c r="C45" i="3"/>
  <c r="C46" i="3"/>
  <c r="C47" i="3"/>
  <c r="C48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44" i="3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44" i="4"/>
  <c r="C59" i="2"/>
  <c r="C4" i="5" l="1"/>
  <c r="C3" i="5"/>
  <c r="B4" i="5"/>
  <c r="B3" i="5"/>
  <c r="C75" i="5"/>
  <c r="C76" i="5"/>
  <c r="C77" i="5"/>
  <c r="C79" i="5"/>
  <c r="C80" i="5"/>
  <c r="C81" i="5"/>
  <c r="C88" i="5"/>
  <c r="C96" i="5"/>
  <c r="C97" i="5"/>
  <c r="C98" i="5"/>
  <c r="C99" i="5"/>
  <c r="C101" i="5"/>
  <c r="C74" i="5"/>
  <c r="C84" i="3"/>
  <c r="C75" i="3"/>
  <c r="C76" i="3"/>
  <c r="C77" i="3"/>
  <c r="C78" i="3"/>
  <c r="C79" i="3"/>
  <c r="C80" i="3"/>
  <c r="C81" i="3"/>
  <c r="C82" i="3"/>
  <c r="C83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74" i="3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9" i="4"/>
  <c r="C91" i="4"/>
  <c r="C92" i="4"/>
  <c r="C93" i="4"/>
  <c r="C94" i="4"/>
  <c r="C95" i="4"/>
  <c r="C96" i="4"/>
  <c r="C97" i="4"/>
  <c r="C98" i="4"/>
  <c r="C99" i="4"/>
  <c r="C100" i="4"/>
  <c r="C101" i="4"/>
  <c r="C74" i="4"/>
  <c r="C77" i="2"/>
  <c r="D41" i="5" l="1"/>
  <c r="D100" i="5"/>
  <c r="D99" i="5"/>
  <c r="D98" i="5"/>
  <c r="D97" i="5"/>
  <c r="D96" i="5"/>
  <c r="D101" i="5" s="1"/>
  <c r="D4" i="5" s="1"/>
  <c r="D70" i="5"/>
  <c r="D69" i="5"/>
  <c r="D68" i="5"/>
  <c r="D67" i="5"/>
  <c r="D66" i="5"/>
  <c r="D71" i="5" s="1"/>
  <c r="D3" i="5" s="1"/>
  <c r="D39" i="5"/>
  <c r="D38" i="5"/>
  <c r="D37" i="5"/>
  <c r="D36" i="5"/>
  <c r="D40" i="5" s="1"/>
  <c r="D35" i="5"/>
  <c r="D8" i="5"/>
  <c r="D41" i="3"/>
  <c r="D41" i="4"/>
  <c r="D41" i="2"/>
  <c r="D40" i="3"/>
  <c r="D10" i="3"/>
  <c r="D9" i="3"/>
  <c r="D100" i="3"/>
  <c r="D99" i="3"/>
  <c r="D98" i="3"/>
  <c r="D97" i="3"/>
  <c r="D96" i="3"/>
  <c r="D101" i="3" s="1"/>
  <c r="D4" i="3" s="1"/>
  <c r="D70" i="3"/>
  <c r="D69" i="3"/>
  <c r="D68" i="3"/>
  <c r="D67" i="3"/>
  <c r="D66" i="3"/>
  <c r="D71" i="3" s="1"/>
  <c r="D3" i="3" s="1"/>
  <c r="D39" i="3"/>
  <c r="D38" i="3"/>
  <c r="D37" i="3"/>
  <c r="D36" i="3"/>
  <c r="D35" i="3"/>
  <c r="D8" i="3"/>
  <c r="D10" i="4"/>
  <c r="D9" i="4"/>
  <c r="D100" i="4"/>
  <c r="D99" i="4"/>
  <c r="D98" i="4"/>
  <c r="D97" i="4"/>
  <c r="D96" i="4"/>
  <c r="D101" i="4" s="1"/>
  <c r="D4" i="4" s="1"/>
  <c r="D70" i="4"/>
  <c r="D69" i="4"/>
  <c r="D68" i="4"/>
  <c r="D67" i="4"/>
  <c r="D66" i="4"/>
  <c r="D71" i="4" s="1"/>
  <c r="D3" i="4" s="1"/>
  <c r="D39" i="4"/>
  <c r="D38" i="4"/>
  <c r="D37" i="4"/>
  <c r="D36" i="4"/>
  <c r="D40" i="4" s="1"/>
  <c r="D35" i="4"/>
  <c r="D8" i="4"/>
  <c r="D10" i="2"/>
  <c r="D9" i="2"/>
  <c r="C101" i="2"/>
  <c r="C100" i="2"/>
  <c r="C99" i="2"/>
  <c r="C98" i="2"/>
  <c r="C97" i="2"/>
  <c r="C96" i="2"/>
  <c r="C93" i="2"/>
  <c r="C92" i="2"/>
  <c r="C91" i="2"/>
  <c r="C90" i="2"/>
  <c r="C88" i="2"/>
  <c r="C87" i="2"/>
  <c r="C86" i="2"/>
  <c r="C81" i="2"/>
  <c r="C79" i="2"/>
  <c r="C78" i="2"/>
  <c r="C76" i="2"/>
  <c r="C75" i="2"/>
  <c r="C74" i="2"/>
  <c r="C71" i="2"/>
  <c r="C70" i="2"/>
  <c r="C69" i="2"/>
  <c r="C68" i="2"/>
  <c r="C67" i="2"/>
  <c r="C66" i="2"/>
  <c r="C64" i="2"/>
  <c r="C63" i="2"/>
  <c r="C62" i="2"/>
  <c r="C61" i="2"/>
  <c r="C60" i="2"/>
  <c r="C58" i="2"/>
  <c r="C57" i="2"/>
  <c r="C56" i="2"/>
  <c r="C51" i="2"/>
  <c r="C49" i="2"/>
  <c r="C46" i="2"/>
  <c r="C44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0" i="2"/>
  <c r="C18" i="2"/>
  <c r="C15" i="2"/>
  <c r="C14" i="2"/>
  <c r="C13" i="2"/>
  <c r="C7" i="2"/>
  <c r="C6" i="2"/>
  <c r="C5" i="2"/>
  <c r="C4" i="2"/>
  <c r="C3" i="2"/>
  <c r="D100" i="2"/>
  <c r="D99" i="2"/>
  <c r="D98" i="2"/>
  <c r="D97" i="2"/>
  <c r="D96" i="2"/>
  <c r="D101" i="2" s="1"/>
  <c r="D4" i="2" s="1"/>
  <c r="D70" i="2"/>
  <c r="D69" i="2"/>
  <c r="D68" i="2"/>
  <c r="D67" i="2"/>
  <c r="D66" i="2"/>
  <c r="D71" i="2" s="1"/>
  <c r="D3" i="2" s="1"/>
  <c r="D39" i="2"/>
  <c r="D38" i="2"/>
  <c r="D37" i="2"/>
  <c r="D36" i="2"/>
  <c r="D40" i="2" s="1"/>
  <c r="D35" i="2"/>
  <c r="D8" i="2"/>
  <c r="D3" i="1"/>
  <c r="C3" i="1" s="1"/>
  <c r="D2" i="1"/>
  <c r="B3" i="1"/>
  <c r="D120" i="1"/>
  <c r="B120" i="1"/>
  <c r="D113" i="1"/>
  <c r="D111" i="1"/>
  <c r="D103" i="1"/>
  <c r="D96" i="1"/>
  <c r="D112" i="1" s="1"/>
  <c r="D116" i="1" s="1"/>
  <c r="C73" i="1"/>
  <c r="D71" i="1"/>
  <c r="D70" i="1"/>
  <c r="D66" i="1" s="1"/>
  <c r="D64" i="1"/>
  <c r="D60" i="1" s="1"/>
  <c r="D55" i="1"/>
  <c r="D52" i="1"/>
  <c r="D48" i="1"/>
  <c r="D46" i="1"/>
  <c r="D38" i="1"/>
  <c r="D29" i="1"/>
  <c r="D28" i="1"/>
  <c r="D24" i="1"/>
  <c r="D25" i="1" s="1"/>
  <c r="D20" i="1"/>
  <c r="D16" i="1"/>
  <c r="D17" i="1" s="1"/>
  <c r="D15" i="1"/>
  <c r="D26" i="1" s="1"/>
  <c r="D27" i="1" s="1"/>
  <c r="D13" i="1"/>
  <c r="B70" i="2" l="1"/>
  <c r="B69" i="2"/>
  <c r="B68" i="2"/>
  <c r="B67" i="2"/>
  <c r="B66" i="2"/>
  <c r="B71" i="2" s="1"/>
  <c r="B39" i="5" l="1"/>
  <c r="B38" i="5"/>
  <c r="B37" i="5"/>
  <c r="B36" i="5"/>
  <c r="B35" i="5"/>
  <c r="B40" i="5" s="1"/>
  <c r="B41" i="5" s="1"/>
  <c r="B39" i="3"/>
  <c r="B38" i="3"/>
  <c r="B37" i="3"/>
  <c r="B36" i="3"/>
  <c r="B40" i="3" s="1"/>
  <c r="B41" i="3" s="1"/>
  <c r="B35" i="3"/>
  <c r="B39" i="4"/>
  <c r="B38" i="4"/>
  <c r="B37" i="4"/>
  <c r="B36" i="4"/>
  <c r="B35" i="4"/>
  <c r="B40" i="4" s="1"/>
  <c r="B41" i="4" s="1"/>
  <c r="B39" i="2"/>
  <c r="B38" i="2"/>
  <c r="B37" i="2"/>
  <c r="B36" i="2"/>
  <c r="B35" i="2"/>
  <c r="B40" i="2" s="1"/>
  <c r="B41" i="2" s="1"/>
  <c r="B71" i="5"/>
  <c r="B70" i="5"/>
  <c r="B69" i="5"/>
  <c r="B68" i="5"/>
  <c r="B67" i="5"/>
  <c r="B66" i="5"/>
  <c r="B70" i="3"/>
  <c r="B69" i="3"/>
  <c r="B68" i="3"/>
  <c r="B67" i="3"/>
  <c r="B66" i="3"/>
  <c r="B71" i="3" s="1"/>
  <c r="B70" i="4"/>
  <c r="B69" i="4"/>
  <c r="B68" i="4"/>
  <c r="B67" i="4"/>
  <c r="B66" i="4"/>
  <c r="B71" i="4" s="1"/>
  <c r="B216" i="1" l="1"/>
  <c r="B100" i="5"/>
  <c r="B99" i="5"/>
  <c r="B98" i="5"/>
  <c r="B97" i="5"/>
  <c r="B96" i="5"/>
  <c r="B101" i="5" s="1"/>
  <c r="B100" i="3"/>
  <c r="B99" i="3"/>
  <c r="B98" i="3"/>
  <c r="B97" i="3"/>
  <c r="B96" i="3"/>
  <c r="B101" i="3" s="1"/>
  <c r="B100" i="4"/>
  <c r="B99" i="4"/>
  <c r="B98" i="4"/>
  <c r="B97" i="4"/>
  <c r="B96" i="4"/>
  <c r="B101" i="4" s="1"/>
  <c r="F74" i="2"/>
  <c r="B101" i="2"/>
  <c r="B96" i="2"/>
  <c r="B100" i="2"/>
  <c r="B99" i="2"/>
  <c r="B98" i="2"/>
  <c r="B97" i="2"/>
  <c r="M41" i="5" l="1"/>
  <c r="K41" i="5"/>
  <c r="I41" i="5"/>
  <c r="G41" i="5"/>
  <c r="E41" i="5"/>
  <c r="I100" i="5"/>
  <c r="G100" i="5"/>
  <c r="H100" i="5" s="1"/>
  <c r="E100" i="5"/>
  <c r="I99" i="5"/>
  <c r="G99" i="5"/>
  <c r="H99" i="5" s="1"/>
  <c r="F99" i="5"/>
  <c r="E99" i="5"/>
  <c r="I98" i="5"/>
  <c r="G98" i="5"/>
  <c r="H98" i="5" s="1"/>
  <c r="E98" i="5"/>
  <c r="F98" i="5" s="1"/>
  <c r="I97" i="5"/>
  <c r="H97" i="5"/>
  <c r="G97" i="5"/>
  <c r="E97" i="5"/>
  <c r="F97" i="5" s="1"/>
  <c r="I96" i="5"/>
  <c r="I101" i="5" s="1"/>
  <c r="G96" i="5"/>
  <c r="H96" i="5" s="1"/>
  <c r="E96" i="5"/>
  <c r="F96" i="5" s="1"/>
  <c r="H95" i="5"/>
  <c r="H93" i="5"/>
  <c r="H88" i="5"/>
  <c r="F88" i="5"/>
  <c r="H86" i="5"/>
  <c r="F82" i="5"/>
  <c r="H81" i="5"/>
  <c r="F81" i="5"/>
  <c r="H80" i="5"/>
  <c r="F80" i="5"/>
  <c r="H77" i="5"/>
  <c r="F77" i="5"/>
  <c r="H76" i="5"/>
  <c r="F76" i="5"/>
  <c r="H75" i="5"/>
  <c r="F75" i="5"/>
  <c r="H74" i="5"/>
  <c r="F74" i="5"/>
  <c r="I70" i="5"/>
  <c r="G70" i="5"/>
  <c r="H70" i="5" s="1"/>
  <c r="F70" i="5"/>
  <c r="E70" i="5"/>
  <c r="I69" i="5"/>
  <c r="G69" i="5"/>
  <c r="H69" i="5" s="1"/>
  <c r="E69" i="5"/>
  <c r="F69" i="5" s="1"/>
  <c r="I68" i="5"/>
  <c r="H68" i="5"/>
  <c r="G68" i="5"/>
  <c r="E68" i="5"/>
  <c r="F68" i="5" s="1"/>
  <c r="I67" i="5"/>
  <c r="I71" i="5" s="1"/>
  <c r="G67" i="5"/>
  <c r="H67" i="5" s="1"/>
  <c r="E67" i="5"/>
  <c r="F67" i="5" s="1"/>
  <c r="I66" i="5"/>
  <c r="G66" i="5"/>
  <c r="G71" i="5" s="1"/>
  <c r="F66" i="5"/>
  <c r="E66" i="5"/>
  <c r="H65" i="5"/>
  <c r="F65" i="5"/>
  <c r="H64" i="5"/>
  <c r="F64" i="5"/>
  <c r="H63" i="5"/>
  <c r="F63" i="5"/>
  <c r="H61" i="5"/>
  <c r="F61" i="5"/>
  <c r="H60" i="5"/>
  <c r="F60" i="5"/>
  <c r="H59" i="5"/>
  <c r="F59" i="5"/>
  <c r="H58" i="5"/>
  <c r="F58" i="5"/>
  <c r="H57" i="5"/>
  <c r="F57" i="5"/>
  <c r="H56" i="5"/>
  <c r="F56" i="5"/>
  <c r="H55" i="5"/>
  <c r="F55" i="5"/>
  <c r="H54" i="5"/>
  <c r="F54" i="5"/>
  <c r="H53" i="5"/>
  <c r="F53" i="5"/>
  <c r="H52" i="5"/>
  <c r="F52" i="5"/>
  <c r="H51" i="5"/>
  <c r="F51" i="5"/>
  <c r="H50" i="5"/>
  <c r="F50" i="5"/>
  <c r="H49" i="5"/>
  <c r="F49" i="5"/>
  <c r="H48" i="5"/>
  <c r="F48" i="5"/>
  <c r="H47" i="5"/>
  <c r="F47" i="5"/>
  <c r="H46" i="5"/>
  <c r="F46" i="5"/>
  <c r="H45" i="5"/>
  <c r="F45" i="5"/>
  <c r="H44" i="5"/>
  <c r="F44" i="5"/>
  <c r="I39" i="5"/>
  <c r="H39" i="5"/>
  <c r="G39" i="5"/>
  <c r="E39" i="5"/>
  <c r="F39" i="5" s="1"/>
  <c r="I38" i="5"/>
  <c r="H38" i="5" s="1"/>
  <c r="G38" i="5"/>
  <c r="E38" i="5"/>
  <c r="F38" i="5" s="1"/>
  <c r="I37" i="5"/>
  <c r="G37" i="5"/>
  <c r="H37" i="5" s="1"/>
  <c r="F37" i="5"/>
  <c r="E37" i="5"/>
  <c r="I36" i="5"/>
  <c r="G36" i="5"/>
  <c r="F36" i="5" s="1"/>
  <c r="E36" i="5"/>
  <c r="I35" i="5"/>
  <c r="I40" i="5" s="1"/>
  <c r="H35" i="5"/>
  <c r="G35" i="5"/>
  <c r="E35" i="5"/>
  <c r="E40" i="5" s="1"/>
  <c r="F32" i="5"/>
  <c r="H31" i="5"/>
  <c r="F31" i="5"/>
  <c r="H30" i="5"/>
  <c r="F30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L9" i="5"/>
  <c r="J9" i="5"/>
  <c r="H9" i="5"/>
  <c r="F9" i="5"/>
  <c r="I8" i="5"/>
  <c r="G8" i="5"/>
  <c r="E8" i="5"/>
  <c r="H7" i="5"/>
  <c r="F7" i="5"/>
  <c r="H6" i="5"/>
  <c r="F6" i="5"/>
  <c r="H5" i="5"/>
  <c r="F5" i="5"/>
  <c r="M41" i="3"/>
  <c r="K41" i="3"/>
  <c r="I41" i="3"/>
  <c r="G41" i="3"/>
  <c r="E41" i="3"/>
  <c r="M41" i="4"/>
  <c r="K41" i="4"/>
  <c r="I41" i="4"/>
  <c r="G41" i="4"/>
  <c r="E41" i="4"/>
  <c r="M10" i="3"/>
  <c r="M9" i="3"/>
  <c r="K10" i="3"/>
  <c r="K9" i="3"/>
  <c r="E10" i="3"/>
  <c r="E9" i="3"/>
  <c r="L101" i="3"/>
  <c r="I100" i="3"/>
  <c r="G100" i="3"/>
  <c r="F100" i="3" s="1"/>
  <c r="E100" i="3"/>
  <c r="I99" i="3"/>
  <c r="H99" i="3"/>
  <c r="G99" i="3"/>
  <c r="E99" i="3"/>
  <c r="F99" i="3" s="1"/>
  <c r="I98" i="3"/>
  <c r="H98" i="3" s="1"/>
  <c r="G98" i="3"/>
  <c r="E98" i="3"/>
  <c r="F98" i="3" s="1"/>
  <c r="I97" i="3"/>
  <c r="I101" i="3" s="1"/>
  <c r="G97" i="3"/>
  <c r="H97" i="3" s="1"/>
  <c r="F97" i="3"/>
  <c r="E97" i="3"/>
  <c r="E101" i="3" s="1"/>
  <c r="I96" i="3"/>
  <c r="G96" i="3"/>
  <c r="F96" i="3" s="1"/>
  <c r="E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F88" i="3"/>
  <c r="H87" i="3"/>
  <c r="F87" i="3"/>
  <c r="H86" i="3"/>
  <c r="F86" i="3"/>
  <c r="H85" i="3"/>
  <c r="F85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L71" i="3"/>
  <c r="I70" i="3"/>
  <c r="H70" i="3"/>
  <c r="G70" i="3"/>
  <c r="E70" i="3"/>
  <c r="F70" i="3" s="1"/>
  <c r="I69" i="3"/>
  <c r="H69" i="3" s="1"/>
  <c r="G69" i="3"/>
  <c r="E69" i="3"/>
  <c r="F69" i="3" s="1"/>
  <c r="I68" i="3"/>
  <c r="G68" i="3"/>
  <c r="H68" i="3" s="1"/>
  <c r="F68" i="3"/>
  <c r="E68" i="3"/>
  <c r="I67" i="3"/>
  <c r="G67" i="3"/>
  <c r="F67" i="3" s="1"/>
  <c r="E67" i="3"/>
  <c r="I66" i="3"/>
  <c r="I71" i="3" s="1"/>
  <c r="H66" i="3"/>
  <c r="G66" i="3"/>
  <c r="E66" i="3"/>
  <c r="E71" i="3" s="1"/>
  <c r="H65" i="3"/>
  <c r="F65" i="3"/>
  <c r="H64" i="3"/>
  <c r="F64" i="3"/>
  <c r="H63" i="3"/>
  <c r="F63" i="3"/>
  <c r="H62" i="3"/>
  <c r="F62" i="3"/>
  <c r="H61" i="3"/>
  <c r="F61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L40" i="3"/>
  <c r="I39" i="3"/>
  <c r="H39" i="3"/>
  <c r="G39" i="3"/>
  <c r="E39" i="3"/>
  <c r="F39" i="3" s="1"/>
  <c r="I38" i="3"/>
  <c r="H38" i="3" s="1"/>
  <c r="G38" i="3"/>
  <c r="E38" i="3"/>
  <c r="F38" i="3" s="1"/>
  <c r="I37" i="3"/>
  <c r="G37" i="3"/>
  <c r="H37" i="3" s="1"/>
  <c r="F37" i="3"/>
  <c r="E37" i="3"/>
  <c r="I36" i="3"/>
  <c r="G36" i="3"/>
  <c r="F36" i="3" s="1"/>
  <c r="E36" i="3"/>
  <c r="I35" i="3"/>
  <c r="I40" i="3" s="1"/>
  <c r="H35" i="3"/>
  <c r="G35" i="3"/>
  <c r="E35" i="3"/>
  <c r="E40" i="3" s="1"/>
  <c r="H34" i="3"/>
  <c r="F34" i="3"/>
  <c r="H33" i="3"/>
  <c r="F33" i="3"/>
  <c r="H32" i="3"/>
  <c r="F32" i="3"/>
  <c r="H31" i="3"/>
  <c r="F31" i="3"/>
  <c r="H30" i="3"/>
  <c r="F30" i="3"/>
  <c r="F29" i="3"/>
  <c r="H28" i="3"/>
  <c r="F28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M8" i="3"/>
  <c r="K8" i="3"/>
  <c r="I8" i="3"/>
  <c r="G8" i="3"/>
  <c r="E8" i="3"/>
  <c r="L7" i="3"/>
  <c r="J7" i="3"/>
  <c r="H7" i="3"/>
  <c r="F7" i="3"/>
  <c r="L6" i="3"/>
  <c r="J6" i="3"/>
  <c r="H6" i="3"/>
  <c r="F6" i="3"/>
  <c r="J5" i="3"/>
  <c r="H5" i="3"/>
  <c r="F5" i="3"/>
  <c r="L101" i="4"/>
  <c r="I100" i="4"/>
  <c r="G100" i="4"/>
  <c r="F100" i="4" s="1"/>
  <c r="E100" i="4"/>
  <c r="I99" i="4"/>
  <c r="H99" i="4"/>
  <c r="G99" i="4"/>
  <c r="E99" i="4"/>
  <c r="F99" i="4" s="1"/>
  <c r="I98" i="4"/>
  <c r="H98" i="4" s="1"/>
  <c r="G98" i="4"/>
  <c r="E98" i="4"/>
  <c r="F98" i="4" s="1"/>
  <c r="I97" i="4"/>
  <c r="I101" i="4" s="1"/>
  <c r="G97" i="4"/>
  <c r="H97" i="4" s="1"/>
  <c r="F97" i="4"/>
  <c r="E97" i="4"/>
  <c r="E101" i="4" s="1"/>
  <c r="I96" i="4"/>
  <c r="G96" i="4"/>
  <c r="F96" i="4" s="1"/>
  <c r="E96" i="4"/>
  <c r="H95" i="4"/>
  <c r="F95" i="4"/>
  <c r="H94" i="4"/>
  <c r="F94" i="4"/>
  <c r="H93" i="4"/>
  <c r="F93" i="4"/>
  <c r="H92" i="4"/>
  <c r="F92" i="4"/>
  <c r="H91" i="4"/>
  <c r="F91" i="4"/>
  <c r="H89" i="4"/>
  <c r="F89" i="4"/>
  <c r="H87" i="4"/>
  <c r="F87" i="4"/>
  <c r="H86" i="4"/>
  <c r="F86" i="4"/>
  <c r="H85" i="4"/>
  <c r="F85" i="4"/>
  <c r="H84" i="4"/>
  <c r="F84" i="4"/>
  <c r="H83" i="4"/>
  <c r="F83" i="4"/>
  <c r="H82" i="4"/>
  <c r="F82" i="4"/>
  <c r="H81" i="4"/>
  <c r="F81" i="4"/>
  <c r="H80" i="4"/>
  <c r="F80" i="4"/>
  <c r="H79" i="4"/>
  <c r="F79" i="4"/>
  <c r="H78" i="4"/>
  <c r="F78" i="4"/>
  <c r="H77" i="4"/>
  <c r="F77" i="4"/>
  <c r="H76" i="4"/>
  <c r="F76" i="4"/>
  <c r="H75" i="4"/>
  <c r="F75" i="4"/>
  <c r="H74" i="4"/>
  <c r="F74" i="4"/>
  <c r="L71" i="4"/>
  <c r="I70" i="4"/>
  <c r="G70" i="4"/>
  <c r="F70" i="4" s="1"/>
  <c r="E70" i="4"/>
  <c r="I69" i="4"/>
  <c r="H69" i="4"/>
  <c r="G69" i="4"/>
  <c r="E69" i="4"/>
  <c r="F69" i="4" s="1"/>
  <c r="I68" i="4"/>
  <c r="H68" i="4" s="1"/>
  <c r="G68" i="4"/>
  <c r="E68" i="4"/>
  <c r="F68" i="4" s="1"/>
  <c r="I67" i="4"/>
  <c r="I71" i="4" s="1"/>
  <c r="G67" i="4"/>
  <c r="H67" i="4" s="1"/>
  <c r="F67" i="4"/>
  <c r="E67" i="4"/>
  <c r="E71" i="4" s="1"/>
  <c r="I66" i="4"/>
  <c r="G66" i="4"/>
  <c r="F66" i="4" s="1"/>
  <c r="E66" i="4"/>
  <c r="H65" i="4"/>
  <c r="F65" i="4"/>
  <c r="H64" i="4"/>
  <c r="F64" i="4"/>
  <c r="H63" i="4"/>
  <c r="F63" i="4"/>
  <c r="H62" i="4"/>
  <c r="F62" i="4"/>
  <c r="H61" i="4"/>
  <c r="F61" i="4"/>
  <c r="H60" i="4"/>
  <c r="F60" i="4"/>
  <c r="H59" i="4"/>
  <c r="F59" i="4"/>
  <c r="H57" i="4"/>
  <c r="F57" i="4"/>
  <c r="H56" i="4"/>
  <c r="F56" i="4"/>
  <c r="H55" i="4"/>
  <c r="F55" i="4"/>
  <c r="H54" i="4"/>
  <c r="F54" i="4"/>
  <c r="H53" i="4"/>
  <c r="F53" i="4"/>
  <c r="H52" i="4"/>
  <c r="F52" i="4"/>
  <c r="H51" i="4"/>
  <c r="F51" i="4"/>
  <c r="H50" i="4"/>
  <c r="F50" i="4"/>
  <c r="H49" i="4"/>
  <c r="F49" i="4"/>
  <c r="H48" i="4"/>
  <c r="F48" i="4"/>
  <c r="H47" i="4"/>
  <c r="F47" i="4"/>
  <c r="H46" i="4"/>
  <c r="F46" i="4"/>
  <c r="H45" i="4"/>
  <c r="F45" i="4"/>
  <c r="H44" i="4"/>
  <c r="F44" i="4"/>
  <c r="L40" i="4"/>
  <c r="I39" i="4"/>
  <c r="H39" i="4"/>
  <c r="G39" i="4"/>
  <c r="E39" i="4"/>
  <c r="F39" i="4" s="1"/>
  <c r="I38" i="4"/>
  <c r="G38" i="4"/>
  <c r="H38" i="4" s="1"/>
  <c r="E38" i="4"/>
  <c r="F38" i="4" s="1"/>
  <c r="I37" i="4"/>
  <c r="G37" i="4"/>
  <c r="H37" i="4" s="1"/>
  <c r="F37" i="4"/>
  <c r="E37" i="4"/>
  <c r="I36" i="4"/>
  <c r="G36" i="4"/>
  <c r="G40" i="4" s="1"/>
  <c r="E36" i="4"/>
  <c r="F36" i="4" s="1"/>
  <c r="I35" i="4"/>
  <c r="I40" i="4" s="1"/>
  <c r="H35" i="4"/>
  <c r="G35" i="4"/>
  <c r="E35" i="4"/>
  <c r="E40" i="4" s="1"/>
  <c r="H34" i="4"/>
  <c r="F34" i="4"/>
  <c r="H33" i="4"/>
  <c r="F33" i="4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M10" i="4"/>
  <c r="M9" i="4"/>
  <c r="K10" i="4"/>
  <c r="K9" i="4"/>
  <c r="M8" i="4"/>
  <c r="K8" i="4"/>
  <c r="I8" i="4"/>
  <c r="G8" i="4"/>
  <c r="E8" i="4"/>
  <c r="L7" i="4"/>
  <c r="J7" i="4"/>
  <c r="H7" i="4"/>
  <c r="F7" i="4"/>
  <c r="L6" i="4"/>
  <c r="J6" i="4"/>
  <c r="H6" i="4"/>
  <c r="F6" i="4"/>
  <c r="J5" i="4"/>
  <c r="H5" i="4"/>
  <c r="F5" i="4"/>
  <c r="M10" i="2"/>
  <c r="M9" i="2"/>
  <c r="K10" i="2"/>
  <c r="K9" i="2"/>
  <c r="I10" i="2"/>
  <c r="I9" i="2"/>
  <c r="G10" i="2"/>
  <c r="G3" i="1"/>
  <c r="H3" i="1" s="1"/>
  <c r="G2" i="1"/>
  <c r="F2" i="1"/>
  <c r="E2" i="1"/>
  <c r="E3" i="1"/>
  <c r="F3" i="1" s="1"/>
  <c r="E10" i="2"/>
  <c r="M41" i="2"/>
  <c r="K41" i="2"/>
  <c r="I41" i="2"/>
  <c r="G41" i="2"/>
  <c r="E41" i="2"/>
  <c r="E9" i="2"/>
  <c r="E40" i="2"/>
  <c r="L101" i="2"/>
  <c r="I100" i="2"/>
  <c r="G100" i="2"/>
  <c r="F100" i="2" s="1"/>
  <c r="E100" i="2"/>
  <c r="I99" i="2"/>
  <c r="H99" i="2"/>
  <c r="G99" i="2"/>
  <c r="E99" i="2"/>
  <c r="F99" i="2" s="1"/>
  <c r="I98" i="2"/>
  <c r="H98" i="2" s="1"/>
  <c r="G98" i="2"/>
  <c r="E98" i="2"/>
  <c r="F98" i="2" s="1"/>
  <c r="I97" i="2"/>
  <c r="I101" i="2" s="1"/>
  <c r="G97" i="2"/>
  <c r="H97" i="2" s="1"/>
  <c r="F97" i="2"/>
  <c r="E97" i="2"/>
  <c r="E101" i="2" s="1"/>
  <c r="I96" i="2"/>
  <c r="G96" i="2"/>
  <c r="F96" i="2" s="1"/>
  <c r="E96" i="2"/>
  <c r="H95" i="2"/>
  <c r="H93" i="2"/>
  <c r="F93" i="2"/>
  <c r="H92" i="2"/>
  <c r="F92" i="2"/>
  <c r="H91" i="2"/>
  <c r="F91" i="2"/>
  <c r="H90" i="2"/>
  <c r="F90" i="2"/>
  <c r="H89" i="2"/>
  <c r="H88" i="2"/>
  <c r="F88" i="2"/>
  <c r="H87" i="2"/>
  <c r="F87" i="2"/>
  <c r="H86" i="2"/>
  <c r="F86" i="2"/>
  <c r="H81" i="2"/>
  <c r="F81" i="2"/>
  <c r="H79" i="2"/>
  <c r="F79" i="2"/>
  <c r="F78" i="2"/>
  <c r="H76" i="2"/>
  <c r="F76" i="2"/>
  <c r="H75" i="2"/>
  <c r="F75" i="2"/>
  <c r="H74" i="2"/>
  <c r="L71" i="2"/>
  <c r="I70" i="2"/>
  <c r="G70" i="2"/>
  <c r="F70" i="2" s="1"/>
  <c r="E70" i="2"/>
  <c r="I69" i="2"/>
  <c r="H69" i="2"/>
  <c r="G69" i="2"/>
  <c r="E69" i="2"/>
  <c r="F69" i="2" s="1"/>
  <c r="I68" i="2"/>
  <c r="H68" i="2" s="1"/>
  <c r="G68" i="2"/>
  <c r="E68" i="2"/>
  <c r="F68" i="2" s="1"/>
  <c r="I67" i="2"/>
  <c r="I71" i="2" s="1"/>
  <c r="G67" i="2"/>
  <c r="H67" i="2" s="1"/>
  <c r="F67" i="2"/>
  <c r="E67" i="2"/>
  <c r="E71" i="2" s="1"/>
  <c r="I66" i="2"/>
  <c r="G66" i="2"/>
  <c r="F66" i="2" s="1"/>
  <c r="E66" i="2"/>
  <c r="H65" i="2"/>
  <c r="F65" i="2"/>
  <c r="H64" i="2"/>
  <c r="F64" i="2"/>
  <c r="H63" i="2"/>
  <c r="F63" i="2"/>
  <c r="H62" i="2"/>
  <c r="F62" i="2"/>
  <c r="H61" i="2"/>
  <c r="F61" i="2"/>
  <c r="H60" i="2"/>
  <c r="F60" i="2"/>
  <c r="H59" i="2"/>
  <c r="F59" i="2"/>
  <c r="H58" i="2"/>
  <c r="F58" i="2"/>
  <c r="H57" i="2"/>
  <c r="F57" i="2"/>
  <c r="H56" i="2"/>
  <c r="F56" i="2"/>
  <c r="H54" i="2"/>
  <c r="H53" i="2"/>
  <c r="H51" i="2"/>
  <c r="F51" i="2"/>
  <c r="H49" i="2"/>
  <c r="F49" i="2"/>
  <c r="H48" i="2"/>
  <c r="F48" i="2"/>
  <c r="H47" i="2"/>
  <c r="H46" i="2"/>
  <c r="F46" i="2"/>
  <c r="H45" i="2"/>
  <c r="F45" i="2"/>
  <c r="H44" i="2"/>
  <c r="F44" i="2"/>
  <c r="L40" i="2"/>
  <c r="I39" i="2"/>
  <c r="H39" i="2"/>
  <c r="G39" i="2"/>
  <c r="E39" i="2"/>
  <c r="F39" i="2" s="1"/>
  <c r="I38" i="2"/>
  <c r="H38" i="2" s="1"/>
  <c r="G38" i="2"/>
  <c r="E38" i="2"/>
  <c r="F38" i="2" s="1"/>
  <c r="I37" i="2"/>
  <c r="G37" i="2"/>
  <c r="H37" i="2" s="1"/>
  <c r="F37" i="2"/>
  <c r="E37" i="2"/>
  <c r="I36" i="2"/>
  <c r="G36" i="2"/>
  <c r="F36" i="2" s="1"/>
  <c r="E36" i="2"/>
  <c r="I35" i="2"/>
  <c r="I40" i="2" s="1"/>
  <c r="H35" i="2"/>
  <c r="G35" i="2"/>
  <c r="E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1" i="2"/>
  <c r="H20" i="2"/>
  <c r="F20" i="2"/>
  <c r="H18" i="2"/>
  <c r="F18" i="2"/>
  <c r="H17" i="2"/>
  <c r="F17" i="2"/>
  <c r="H15" i="2"/>
  <c r="F15" i="2"/>
  <c r="H14" i="2"/>
  <c r="F14" i="2"/>
  <c r="H13" i="2"/>
  <c r="F13" i="2"/>
  <c r="M8" i="2"/>
  <c r="K8" i="2"/>
  <c r="I8" i="2"/>
  <c r="G8" i="2"/>
  <c r="E8" i="2"/>
  <c r="H7" i="2"/>
  <c r="F7" i="2"/>
  <c r="H6" i="2"/>
  <c r="F6" i="2"/>
  <c r="J5" i="2"/>
  <c r="H5" i="2"/>
  <c r="F5" i="2"/>
  <c r="I215" i="1"/>
  <c r="G215" i="1"/>
  <c r="H215" i="1" s="1"/>
  <c r="F215" i="1"/>
  <c r="E215" i="1"/>
  <c r="I214" i="1"/>
  <c r="G214" i="1"/>
  <c r="F214" i="1" s="1"/>
  <c r="E214" i="1"/>
  <c r="I213" i="1"/>
  <c r="H213" i="1"/>
  <c r="G213" i="1"/>
  <c r="E213" i="1"/>
  <c r="F213" i="1" s="1"/>
  <c r="I212" i="1"/>
  <c r="H212" i="1" s="1"/>
  <c r="G212" i="1"/>
  <c r="E212" i="1"/>
  <c r="F212" i="1" s="1"/>
  <c r="I211" i="1"/>
  <c r="G211" i="1"/>
  <c r="G216" i="1" s="1"/>
  <c r="F211" i="1"/>
  <c r="E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I185" i="1"/>
  <c r="H185" i="1"/>
  <c r="G185" i="1"/>
  <c r="F185" i="1"/>
  <c r="E185" i="1"/>
  <c r="I184" i="1"/>
  <c r="G184" i="1"/>
  <c r="H184" i="1" s="1"/>
  <c r="E184" i="1"/>
  <c r="F184" i="1" s="1"/>
  <c r="I183" i="1"/>
  <c r="H183" i="1"/>
  <c r="G183" i="1"/>
  <c r="F183" i="1"/>
  <c r="E183" i="1"/>
  <c r="I182" i="1"/>
  <c r="I186" i="1" s="1"/>
  <c r="J186" i="1" s="1"/>
  <c r="G182" i="1"/>
  <c r="H182" i="1" s="1"/>
  <c r="E182" i="1"/>
  <c r="F182" i="1" s="1"/>
  <c r="I181" i="1"/>
  <c r="H181" i="1"/>
  <c r="G181" i="1"/>
  <c r="F181" i="1"/>
  <c r="E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L156" i="1"/>
  <c r="J156" i="1"/>
  <c r="H156" i="1"/>
  <c r="F156" i="1"/>
  <c r="L155" i="1"/>
  <c r="J155" i="1"/>
  <c r="H155" i="1"/>
  <c r="F155" i="1"/>
  <c r="J153" i="1"/>
  <c r="I153" i="1"/>
  <c r="H153" i="1"/>
  <c r="G153" i="1"/>
  <c r="E153" i="1"/>
  <c r="F153" i="1" s="1"/>
  <c r="I152" i="1"/>
  <c r="H152" i="1"/>
  <c r="G152" i="1"/>
  <c r="E152" i="1"/>
  <c r="F152" i="1" s="1"/>
  <c r="I151" i="1"/>
  <c r="G151" i="1"/>
  <c r="H151" i="1" s="1"/>
  <c r="E151" i="1"/>
  <c r="F151" i="1" s="1"/>
  <c r="I150" i="1"/>
  <c r="G150" i="1"/>
  <c r="H150" i="1" s="1"/>
  <c r="F150" i="1"/>
  <c r="E150" i="1"/>
  <c r="I149" i="1"/>
  <c r="G149" i="1"/>
  <c r="H149" i="1" s="1"/>
  <c r="E149" i="1"/>
  <c r="F149" i="1" s="1"/>
  <c r="I148" i="1"/>
  <c r="H148" i="1"/>
  <c r="G148" i="1"/>
  <c r="E148" i="1"/>
  <c r="F148" i="1" s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C126" i="1"/>
  <c r="K123" i="1"/>
  <c r="L123" i="1" s="1"/>
  <c r="I123" i="1"/>
  <c r="J123" i="1" s="1"/>
  <c r="G123" i="1"/>
  <c r="H123" i="1" s="1"/>
  <c r="E123" i="1"/>
  <c r="F123" i="1" s="1"/>
  <c r="K120" i="1"/>
  <c r="I120" i="1"/>
  <c r="G120" i="1"/>
  <c r="E120" i="1"/>
  <c r="L119" i="1"/>
  <c r="J119" i="1"/>
  <c r="H119" i="1"/>
  <c r="F119" i="1"/>
  <c r="L118" i="1"/>
  <c r="J118" i="1"/>
  <c r="H118" i="1"/>
  <c r="F118" i="1"/>
  <c r="L117" i="1"/>
  <c r="J117" i="1"/>
  <c r="H117" i="1"/>
  <c r="F117" i="1"/>
  <c r="J115" i="1"/>
  <c r="H115" i="1"/>
  <c r="F115" i="1"/>
  <c r="J114" i="1"/>
  <c r="H114" i="1"/>
  <c r="F114" i="1"/>
  <c r="L113" i="1"/>
  <c r="K113" i="1"/>
  <c r="G113" i="1"/>
  <c r="I111" i="1"/>
  <c r="I112" i="1" s="1"/>
  <c r="H111" i="1"/>
  <c r="G111" i="1"/>
  <c r="G112" i="1" s="1"/>
  <c r="F111" i="1"/>
  <c r="E111" i="1"/>
  <c r="E112" i="1" s="1"/>
  <c r="L110" i="1"/>
  <c r="J110" i="1"/>
  <c r="H110" i="1"/>
  <c r="F110" i="1"/>
  <c r="L109" i="1"/>
  <c r="J109" i="1"/>
  <c r="H109" i="1"/>
  <c r="J108" i="1"/>
  <c r="H108" i="1"/>
  <c r="F108" i="1"/>
  <c r="L107" i="1"/>
  <c r="J107" i="1"/>
  <c r="H107" i="1"/>
  <c r="F107" i="1"/>
  <c r="L106" i="1"/>
  <c r="J106" i="1"/>
  <c r="H106" i="1"/>
  <c r="F106" i="1"/>
  <c r="L105" i="1"/>
  <c r="K105" i="1"/>
  <c r="K111" i="1" s="1"/>
  <c r="J105" i="1"/>
  <c r="H105" i="1"/>
  <c r="F105" i="1"/>
  <c r="J104" i="1"/>
  <c r="H104" i="1"/>
  <c r="F104" i="1"/>
  <c r="K103" i="1"/>
  <c r="L103" i="1" s="1"/>
  <c r="I103" i="1"/>
  <c r="J103" i="1" s="1"/>
  <c r="G103" i="1"/>
  <c r="H103" i="1" s="1"/>
  <c r="E103" i="1"/>
  <c r="F103" i="1" s="1"/>
  <c r="L102" i="1"/>
  <c r="J102" i="1"/>
  <c r="H102" i="1"/>
  <c r="F102" i="1"/>
  <c r="L101" i="1"/>
  <c r="J101" i="1"/>
  <c r="H101" i="1"/>
  <c r="F101" i="1"/>
  <c r="L100" i="1"/>
  <c r="J100" i="1"/>
  <c r="H100" i="1"/>
  <c r="F100" i="1"/>
  <c r="L99" i="1"/>
  <c r="J99" i="1"/>
  <c r="H99" i="1"/>
  <c r="F99" i="1"/>
  <c r="L98" i="1"/>
  <c r="J98" i="1"/>
  <c r="H98" i="1"/>
  <c r="F98" i="1"/>
  <c r="L97" i="1"/>
  <c r="J97" i="1"/>
  <c r="H97" i="1"/>
  <c r="F97" i="1"/>
  <c r="K96" i="1"/>
  <c r="L96" i="1" s="1"/>
  <c r="I96" i="1"/>
  <c r="J96" i="1" s="1"/>
  <c r="H96" i="1"/>
  <c r="F96" i="1"/>
  <c r="E96" i="1"/>
  <c r="H95" i="1"/>
  <c r="F95" i="1"/>
  <c r="L94" i="1"/>
  <c r="H94" i="1"/>
  <c r="F94" i="1"/>
  <c r="L93" i="1"/>
  <c r="J93" i="1"/>
  <c r="H93" i="1"/>
  <c r="F93" i="1"/>
  <c r="L92" i="1"/>
  <c r="H92" i="1"/>
  <c r="F92" i="1"/>
  <c r="L91" i="1"/>
  <c r="J91" i="1"/>
  <c r="H91" i="1"/>
  <c r="F91" i="1"/>
  <c r="L90" i="1"/>
  <c r="J90" i="1"/>
  <c r="H90" i="1"/>
  <c r="F90" i="1"/>
  <c r="H89" i="1"/>
  <c r="F89" i="1"/>
  <c r="L88" i="1"/>
  <c r="J88" i="1"/>
  <c r="H88" i="1"/>
  <c r="F88" i="1"/>
  <c r="K86" i="1"/>
  <c r="J86" i="1" s="1"/>
  <c r="I86" i="1"/>
  <c r="H86" i="1"/>
  <c r="F86" i="1"/>
  <c r="E86" i="1"/>
  <c r="L85" i="1"/>
  <c r="J85" i="1"/>
  <c r="H85" i="1"/>
  <c r="F85" i="1"/>
  <c r="L84" i="1"/>
  <c r="H84" i="1"/>
  <c r="F84" i="1"/>
  <c r="L83" i="1"/>
  <c r="J83" i="1"/>
  <c r="H83" i="1"/>
  <c r="F83" i="1"/>
  <c r="L82" i="1"/>
  <c r="J82" i="1"/>
  <c r="H82" i="1"/>
  <c r="F82" i="1"/>
  <c r="J81" i="1"/>
  <c r="H81" i="1"/>
  <c r="F81" i="1"/>
  <c r="J80" i="1"/>
  <c r="H80" i="1"/>
  <c r="F80" i="1"/>
  <c r="K79" i="1"/>
  <c r="L79" i="1" s="1"/>
  <c r="I79" i="1"/>
  <c r="J79" i="1" s="1"/>
  <c r="G79" i="1"/>
  <c r="H79" i="1" s="1"/>
  <c r="E79" i="1"/>
  <c r="F79" i="1" s="1"/>
  <c r="C80" i="1"/>
  <c r="C81" i="1"/>
  <c r="C82" i="1"/>
  <c r="C83" i="1"/>
  <c r="C84" i="1"/>
  <c r="C85" i="1"/>
  <c r="F73" i="1"/>
  <c r="K76" i="1"/>
  <c r="I76" i="1"/>
  <c r="H73" i="1"/>
  <c r="J54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K71" i="1"/>
  <c r="L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38" i="1"/>
  <c r="F67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40" i="1"/>
  <c r="F39" i="1"/>
  <c r="F41" i="1"/>
  <c r="F42" i="1"/>
  <c r="F43" i="1"/>
  <c r="F44" i="1"/>
  <c r="F45" i="1"/>
  <c r="F38" i="1"/>
  <c r="I71" i="1"/>
  <c r="E71" i="1"/>
  <c r="I70" i="1"/>
  <c r="G70" i="1"/>
  <c r="K66" i="1"/>
  <c r="I66" i="1"/>
  <c r="E66" i="1"/>
  <c r="K64" i="1"/>
  <c r="K60" i="1" s="1"/>
  <c r="I64" i="1"/>
  <c r="G64" i="1"/>
  <c r="G60" i="1" s="1"/>
  <c r="I60" i="1"/>
  <c r="E60" i="1"/>
  <c r="K55" i="1"/>
  <c r="I55" i="1"/>
  <c r="G55" i="1"/>
  <c r="E55" i="1"/>
  <c r="K52" i="1"/>
  <c r="I52" i="1"/>
  <c r="G52" i="1"/>
  <c r="K48" i="1"/>
  <c r="G48" i="1"/>
  <c r="E48" i="1"/>
  <c r="B48" i="1"/>
  <c r="K46" i="1"/>
  <c r="K38" i="1" s="1"/>
  <c r="G38" i="1"/>
  <c r="E38" i="1"/>
  <c r="B38" i="1"/>
  <c r="B55" i="1"/>
  <c r="B60" i="1"/>
  <c r="L33" i="1"/>
  <c r="J33" i="1"/>
  <c r="H33" i="1"/>
  <c r="L31" i="1"/>
  <c r="J31" i="1"/>
  <c r="H31" i="1"/>
  <c r="I29" i="1"/>
  <c r="I28" i="1"/>
  <c r="I26" i="1"/>
  <c r="I27" i="1" s="1"/>
  <c r="H26" i="1"/>
  <c r="I24" i="1"/>
  <c r="H24" i="1"/>
  <c r="I22" i="1"/>
  <c r="H22" i="1"/>
  <c r="L21" i="1"/>
  <c r="J21" i="1"/>
  <c r="H21" i="1"/>
  <c r="H20" i="1"/>
  <c r="L19" i="1"/>
  <c r="J19" i="1"/>
  <c r="H19" i="1"/>
  <c r="K16" i="1"/>
  <c r="K17" i="1" s="1"/>
  <c r="I16" i="1"/>
  <c r="J16" i="1" s="1"/>
  <c r="H16" i="1"/>
  <c r="H15" i="1"/>
  <c r="L14" i="1"/>
  <c r="J14" i="1"/>
  <c r="H14" i="1"/>
  <c r="K13" i="1"/>
  <c r="L13" i="1" s="1"/>
  <c r="H13" i="1"/>
  <c r="L12" i="1"/>
  <c r="H12" i="1"/>
  <c r="L11" i="1"/>
  <c r="H11" i="1"/>
  <c r="L10" i="1"/>
  <c r="J10" i="1"/>
  <c r="H10" i="1"/>
  <c r="L9" i="1"/>
  <c r="J9" i="1"/>
  <c r="H9" i="1"/>
  <c r="L8" i="1"/>
  <c r="J8" i="1"/>
  <c r="H8" i="1"/>
  <c r="L7" i="1"/>
  <c r="J7" i="1"/>
  <c r="H7" i="1"/>
  <c r="L6" i="1"/>
  <c r="J6" i="1"/>
  <c r="H6" i="1"/>
  <c r="L5" i="1"/>
  <c r="J5" i="1"/>
  <c r="H5" i="1"/>
  <c r="J4" i="1"/>
  <c r="H4" i="1"/>
  <c r="J3" i="1"/>
  <c r="J2" i="1"/>
  <c r="H2" i="1"/>
  <c r="F35" i="1"/>
  <c r="F33" i="1"/>
  <c r="F31" i="1"/>
  <c r="F21" i="1"/>
  <c r="F19" i="1"/>
  <c r="G16" i="1"/>
  <c r="G17" i="1" s="1"/>
  <c r="F17" i="1" s="1"/>
  <c r="F16" i="1"/>
  <c r="F14" i="1"/>
  <c r="G13" i="1"/>
  <c r="G15" i="1" s="1"/>
  <c r="F12" i="1"/>
  <c r="F11" i="1"/>
  <c r="F10" i="1"/>
  <c r="F9" i="1"/>
  <c r="F8" i="1"/>
  <c r="F7" i="1"/>
  <c r="F6" i="1"/>
  <c r="F5" i="1"/>
  <c r="F4" i="1"/>
  <c r="E24" i="1"/>
  <c r="E25" i="1" s="1"/>
  <c r="E17" i="1"/>
  <c r="E16" i="1"/>
  <c r="E13" i="1"/>
  <c r="E15" i="1" s="1"/>
  <c r="J40" i="5" l="1"/>
  <c r="H71" i="5"/>
  <c r="G3" i="5"/>
  <c r="H3" i="5" s="1"/>
  <c r="J71" i="5"/>
  <c r="I3" i="5"/>
  <c r="I4" i="5"/>
  <c r="J101" i="5"/>
  <c r="G40" i="5"/>
  <c r="E71" i="5"/>
  <c r="E101" i="5"/>
  <c r="F35" i="5"/>
  <c r="H66" i="5"/>
  <c r="G101" i="5"/>
  <c r="H36" i="5"/>
  <c r="E3" i="3"/>
  <c r="I4" i="3"/>
  <c r="J101" i="3"/>
  <c r="J40" i="3"/>
  <c r="J71" i="3"/>
  <c r="I3" i="3"/>
  <c r="E4" i="3"/>
  <c r="G71" i="3"/>
  <c r="H36" i="3"/>
  <c r="H67" i="3"/>
  <c r="F35" i="3"/>
  <c r="F66" i="3"/>
  <c r="G40" i="3"/>
  <c r="H96" i="3"/>
  <c r="H100" i="3"/>
  <c r="G101" i="3"/>
  <c r="J101" i="4"/>
  <c r="I4" i="4"/>
  <c r="E4" i="4"/>
  <c r="E10" i="4" s="1"/>
  <c r="H96" i="4"/>
  <c r="H100" i="4"/>
  <c r="G101" i="4"/>
  <c r="J71" i="4"/>
  <c r="I3" i="4"/>
  <c r="E3" i="4"/>
  <c r="F71" i="4"/>
  <c r="H70" i="4"/>
  <c r="H66" i="4"/>
  <c r="G71" i="4"/>
  <c r="J40" i="4"/>
  <c r="F40" i="4"/>
  <c r="H40" i="4"/>
  <c r="H36" i="4"/>
  <c r="F35" i="4"/>
  <c r="I4" i="2"/>
  <c r="J101" i="2"/>
  <c r="E4" i="2"/>
  <c r="H96" i="2"/>
  <c r="H100" i="2"/>
  <c r="G101" i="2"/>
  <c r="J71" i="2"/>
  <c r="I3" i="2"/>
  <c r="E3" i="2"/>
  <c r="H66" i="2"/>
  <c r="H70" i="2"/>
  <c r="G71" i="2"/>
  <c r="J40" i="2"/>
  <c r="F40" i="2"/>
  <c r="G40" i="2"/>
  <c r="H36" i="2"/>
  <c r="F35" i="2"/>
  <c r="I216" i="1"/>
  <c r="J216" i="1" s="1"/>
  <c r="H214" i="1"/>
  <c r="H211" i="1"/>
  <c r="E216" i="1"/>
  <c r="F216" i="1" s="1"/>
  <c r="E186" i="1"/>
  <c r="G186" i="1"/>
  <c r="H186" i="1" s="1"/>
  <c r="L111" i="1"/>
  <c r="K112" i="1"/>
  <c r="J111" i="1"/>
  <c r="F112" i="1"/>
  <c r="J112" i="1"/>
  <c r="G116" i="1"/>
  <c r="H112" i="1"/>
  <c r="L86" i="1"/>
  <c r="G66" i="1"/>
  <c r="G71" i="1" s="1"/>
  <c r="K24" i="1"/>
  <c r="I34" i="1"/>
  <c r="I17" i="1"/>
  <c r="I18" i="1"/>
  <c r="I25" i="1"/>
  <c r="J13" i="1"/>
  <c r="K15" i="1"/>
  <c r="H28" i="1"/>
  <c r="F15" i="1"/>
  <c r="G18" i="1"/>
  <c r="G26" i="1"/>
  <c r="G24" i="1"/>
  <c r="F13" i="1"/>
  <c r="E26" i="1"/>
  <c r="E27" i="1" s="1"/>
  <c r="E18" i="1"/>
  <c r="E20" i="1" s="1"/>
  <c r="E22" i="1" s="1"/>
  <c r="H39" i="1" l="1"/>
  <c r="H54" i="1"/>
  <c r="H64" i="1"/>
  <c r="H68" i="1"/>
  <c r="H67" i="1"/>
  <c r="H70" i="1"/>
  <c r="H53" i="1"/>
  <c r="H69" i="1"/>
  <c r="H52" i="1"/>
  <c r="H55" i="1"/>
  <c r="H71" i="1"/>
  <c r="H46" i="1"/>
  <c r="H60" i="1"/>
  <c r="H59" i="1"/>
  <c r="H49" i="1"/>
  <c r="H65" i="1"/>
  <c r="H47" i="1"/>
  <c r="H56" i="1"/>
  <c r="H45" i="1"/>
  <c r="H42" i="1"/>
  <c r="H41" i="1"/>
  <c r="H40" i="1"/>
  <c r="H57" i="1"/>
  <c r="H38" i="1"/>
  <c r="H48" i="1"/>
  <c r="H63" i="1"/>
  <c r="H51" i="1"/>
  <c r="H50" i="1"/>
  <c r="H62" i="1"/>
  <c r="H44" i="1"/>
  <c r="H61" i="1"/>
  <c r="H43" i="1"/>
  <c r="H58" i="1"/>
  <c r="G76" i="1"/>
  <c r="H66" i="1"/>
  <c r="C42" i="1"/>
  <c r="C46" i="1"/>
  <c r="C39" i="1"/>
  <c r="C43" i="1"/>
  <c r="C47" i="1"/>
  <c r="C40" i="1"/>
  <c r="C44" i="1"/>
  <c r="C41" i="1"/>
  <c r="C45" i="1"/>
  <c r="C48" i="1"/>
  <c r="C38" i="1"/>
  <c r="F71" i="5"/>
  <c r="E3" i="5"/>
  <c r="F3" i="5" s="1"/>
  <c r="F101" i="5"/>
  <c r="E4" i="5"/>
  <c r="H101" i="5"/>
  <c r="G4" i="5"/>
  <c r="H4" i="5" s="1"/>
  <c r="H40" i="5"/>
  <c r="F40" i="5"/>
  <c r="F4" i="3"/>
  <c r="H40" i="3"/>
  <c r="J3" i="3"/>
  <c r="G4" i="3"/>
  <c r="H101" i="3"/>
  <c r="G3" i="3"/>
  <c r="H71" i="3"/>
  <c r="F40" i="3"/>
  <c r="F71" i="3"/>
  <c r="F101" i="3"/>
  <c r="J4" i="3"/>
  <c r="G4" i="4"/>
  <c r="H101" i="4"/>
  <c r="J4" i="4"/>
  <c r="I10" i="4"/>
  <c r="F101" i="4"/>
  <c r="G3" i="4"/>
  <c r="H71" i="4"/>
  <c r="F3" i="4"/>
  <c r="E9" i="4"/>
  <c r="J3" i="4"/>
  <c r="I9" i="4"/>
  <c r="J4" i="2"/>
  <c r="G4" i="2"/>
  <c r="H101" i="2"/>
  <c r="F101" i="2"/>
  <c r="H71" i="2"/>
  <c r="G3" i="2"/>
  <c r="F3" i="2"/>
  <c r="J3" i="2"/>
  <c r="F71" i="2"/>
  <c r="H40" i="2"/>
  <c r="H216" i="1"/>
  <c r="F186" i="1"/>
  <c r="E113" i="1"/>
  <c r="H116" i="1"/>
  <c r="K116" i="1"/>
  <c r="L112" i="1"/>
  <c r="C61" i="1"/>
  <c r="C65" i="1"/>
  <c r="C71" i="1"/>
  <c r="C49" i="1"/>
  <c r="C50" i="1"/>
  <c r="C52" i="1"/>
  <c r="C56" i="1"/>
  <c r="C57" i="1"/>
  <c r="C58" i="1"/>
  <c r="C63" i="1"/>
  <c r="C68" i="1"/>
  <c r="C69" i="1"/>
  <c r="C66" i="1"/>
  <c r="C51" i="1"/>
  <c r="C59" i="1"/>
  <c r="C53" i="1"/>
  <c r="C60" i="1"/>
  <c r="C62" i="1"/>
  <c r="C64" i="1"/>
  <c r="C67" i="1"/>
  <c r="C70" i="1"/>
  <c r="C55" i="1"/>
  <c r="H17" i="1"/>
  <c r="J17" i="1"/>
  <c r="L24" i="1"/>
  <c r="K25" i="1"/>
  <c r="K18" i="1"/>
  <c r="K26" i="1"/>
  <c r="J15" i="1"/>
  <c r="L15" i="1"/>
  <c r="H18" i="1"/>
  <c r="J18" i="1"/>
  <c r="J24" i="1"/>
  <c r="F26" i="1"/>
  <c r="G27" i="1"/>
  <c r="G20" i="1"/>
  <c r="F18" i="1"/>
  <c r="G25" i="1"/>
  <c r="F24" i="1"/>
  <c r="E29" i="1"/>
  <c r="E28" i="1"/>
  <c r="E34" i="1" s="1"/>
  <c r="F4" i="5" l="1"/>
  <c r="H3" i="3"/>
  <c r="F3" i="3"/>
  <c r="H4" i="3"/>
  <c r="H4" i="4"/>
  <c r="F4" i="4"/>
  <c r="H3" i="4"/>
  <c r="F4" i="2"/>
  <c r="H4" i="2"/>
  <c r="H3" i="2"/>
  <c r="L116" i="1"/>
  <c r="I113" i="1"/>
  <c r="J116" i="1"/>
  <c r="F113" i="1"/>
  <c r="E116" i="1"/>
  <c r="F116" i="1" s="1"/>
  <c r="L26" i="1"/>
  <c r="K27" i="1"/>
  <c r="J26" i="1"/>
  <c r="L18" i="1"/>
  <c r="K20" i="1"/>
  <c r="G22" i="1"/>
  <c r="F20" i="1"/>
  <c r="H113" i="1" l="1"/>
  <c r="J113" i="1"/>
  <c r="K22" i="1"/>
  <c r="J20" i="1"/>
  <c r="L20" i="1"/>
  <c r="G28" i="1"/>
  <c r="F22" i="1"/>
  <c r="G29" i="1"/>
  <c r="K29" i="1" l="1"/>
  <c r="K28" i="1"/>
  <c r="L22" i="1"/>
  <c r="J22" i="1"/>
  <c r="F28" i="1"/>
  <c r="G34" i="1"/>
  <c r="F34" i="1" s="1"/>
  <c r="K34" i="1" l="1"/>
  <c r="L28" i="1"/>
  <c r="J28" i="1"/>
  <c r="D213" i="1" l="1"/>
  <c r="B213" i="1"/>
  <c r="D183" i="1"/>
  <c r="B183" i="1"/>
  <c r="D150" i="1"/>
  <c r="B150" i="1"/>
  <c r="B151" i="1"/>
  <c r="D215" i="1" l="1"/>
  <c r="B215" i="1"/>
  <c r="D214" i="1"/>
  <c r="B214" i="1"/>
  <c r="D212" i="1"/>
  <c r="B212" i="1"/>
  <c r="D211" i="1"/>
  <c r="B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D185" i="1"/>
  <c r="B185" i="1"/>
  <c r="D184" i="1"/>
  <c r="B184" i="1"/>
  <c r="D182" i="1"/>
  <c r="B182" i="1"/>
  <c r="D181" i="1"/>
  <c r="B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6" i="1"/>
  <c r="C155" i="1"/>
  <c r="D152" i="1"/>
  <c r="B152" i="1"/>
  <c r="D151" i="1"/>
  <c r="C151" i="1" s="1"/>
  <c r="D149" i="1"/>
  <c r="B149" i="1"/>
  <c r="D148" i="1"/>
  <c r="B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D123" i="1"/>
  <c r="C119" i="1"/>
  <c r="C118" i="1"/>
  <c r="C117" i="1"/>
  <c r="C115" i="1"/>
  <c r="C114" i="1"/>
  <c r="B111" i="1"/>
  <c r="C110" i="1"/>
  <c r="C107" i="1"/>
  <c r="C106" i="1"/>
  <c r="C105" i="1"/>
  <c r="C104" i="1"/>
  <c r="B103" i="1"/>
  <c r="C102" i="1"/>
  <c r="C101" i="1"/>
  <c r="C100" i="1"/>
  <c r="C99" i="1"/>
  <c r="C98" i="1"/>
  <c r="C97" i="1"/>
  <c r="C95" i="1"/>
  <c r="C94" i="1"/>
  <c r="C93" i="1"/>
  <c r="C92" i="1"/>
  <c r="C91" i="1"/>
  <c r="C90" i="1"/>
  <c r="C89" i="1"/>
  <c r="C88" i="1"/>
  <c r="C31" i="1"/>
  <c r="C21" i="1"/>
  <c r="C19" i="1"/>
  <c r="B17" i="1"/>
  <c r="C14" i="1"/>
  <c r="B13" i="1"/>
  <c r="B15" i="1" s="1"/>
  <c r="C12" i="1"/>
  <c r="C11" i="1"/>
  <c r="C10" i="1"/>
  <c r="C9" i="1"/>
  <c r="C8" i="1"/>
  <c r="C7" i="1"/>
  <c r="C6" i="1"/>
  <c r="C5" i="1"/>
  <c r="C4" i="1"/>
  <c r="C15" i="1" l="1"/>
  <c r="B24" i="1"/>
  <c r="B25" i="1" s="1"/>
  <c r="C214" i="1"/>
  <c r="C215" i="1"/>
  <c r="C148" i="1"/>
  <c r="C152" i="1"/>
  <c r="C184" i="1"/>
  <c r="C111" i="1"/>
  <c r="C103" i="1"/>
  <c r="D186" i="1"/>
  <c r="B186" i="1"/>
  <c r="B2" i="1" s="1"/>
  <c r="C2" i="1" s="1"/>
  <c r="C185" i="1"/>
  <c r="B153" i="1"/>
  <c r="C149" i="1"/>
  <c r="C211" i="1"/>
  <c r="C213" i="1"/>
  <c r="C212" i="1"/>
  <c r="C150" i="1"/>
  <c r="C183" i="1"/>
  <c r="C17" i="1"/>
  <c r="C16" i="1"/>
  <c r="C13" i="1"/>
  <c r="C182" i="1"/>
  <c r="D153" i="1"/>
  <c r="D216" i="1"/>
  <c r="C181" i="1"/>
  <c r="B26" i="1" l="1"/>
  <c r="B27" i="1" s="1"/>
  <c r="C186" i="1"/>
  <c r="C153" i="1"/>
  <c r="C24" i="1"/>
  <c r="C18" i="1"/>
  <c r="C216" i="1"/>
  <c r="C26" i="1" l="1"/>
  <c r="B20" i="1"/>
  <c r="C20" i="1" l="1"/>
  <c r="B79" i="1"/>
  <c r="C79" i="1" s="1"/>
  <c r="C22" i="1"/>
  <c r="B86" i="1" l="1"/>
  <c r="B96" i="1" s="1"/>
  <c r="B116" i="1" s="1"/>
  <c r="B28" i="1"/>
  <c r="C28" i="1" s="1"/>
  <c r="B29" i="1"/>
  <c r="C86" i="1" l="1"/>
  <c r="C96" i="1"/>
  <c r="C112" i="1" l="1"/>
  <c r="C116" i="1" l="1"/>
  <c r="G121" i="1"/>
  <c r="C113" i="1" l="1"/>
</calcChain>
</file>

<file path=xl/sharedStrings.xml><?xml version="1.0" encoding="utf-8"?>
<sst xmlns="http://schemas.openxmlformats.org/spreadsheetml/2006/main" count="666" uniqueCount="157">
  <si>
    <t>STRABAG SE</t>
  </si>
  <si>
    <t>% 2013-2014</t>
  </si>
  <si>
    <t>% 2012-2013</t>
  </si>
  <si>
    <t>% 2011-2012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</si>
  <si>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</si>
  <si>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</si>
  <si>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</si>
  <si>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</si>
  <si>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</si>
  <si>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</si>
  <si>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</si>
  <si>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</si>
  <si>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</si>
  <si>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</si>
  <si>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</si>
  <si>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</si>
  <si>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</si>
  <si>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</si>
  <si>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</si>
  <si>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</si>
  <si>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</si>
  <si>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</si>
  <si>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</si>
  <si>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</si>
  <si>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</si>
  <si>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</si>
  <si>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</si>
  <si>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</si>
  <si>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</si>
  <si>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</si>
  <si>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</si>
  <si>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</si>
  <si>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2012: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</si>
  <si>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</si>
  <si>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</si>
  <si>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</si>
  <si>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</si>
  <si>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</si>
  <si>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</si>
  <si>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</si>
  <si>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</si>
  <si>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</si>
  <si>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</si>
  <si>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</si>
  <si>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</si>
  <si>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</si>
  <si>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</si>
  <si>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</si>
  <si>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</si>
  <si>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</si>
  <si>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</si>
  <si>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</si>
  <si>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</si>
  <si>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</si>
  <si>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</si>
  <si>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</si>
  <si>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</si>
  <si>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</si>
  <si>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</si>
  <si>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</si>
  <si>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</si>
  <si>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</si>
  <si>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</si>
  <si>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</si>
  <si>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</si>
  <si>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</si>
  <si>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</si>
  <si>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</si>
  <si>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</si>
  <si>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</si>
  <si>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</si>
  <si>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</si>
  <si>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</si>
  <si>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</si>
  <si>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</si>
  <si>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</si>
  <si>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</si>
  <si>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</si>
  <si>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</si>
  <si>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</si>
  <si>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</si>
  <si>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</si>
  <si>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</si>
  <si>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</si>
  <si>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</si>
  <si>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</si>
  <si>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</si>
  <si>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</si>
  <si>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</si>
  <si>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</si>
  <si>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</si>
  <si>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</si>
  <si>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</si>
  <si>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</si>
  <si>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</si>
  <si>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</si>
  <si>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</si>
  <si>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</si>
  <si>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</si>
  <si>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</si>
  <si>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</si>
  <si>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</si>
  <si>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</si>
  <si>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</si>
  <si>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</si>
  <si>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</si>
  <si>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</si>
  <si>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</si>
  <si>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</si>
  <si>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</si>
  <si>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</si>
  <si>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</si>
  <si>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</si>
  <si>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</si>
  <si>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</si>
  <si>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</si>
  <si>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</si>
  <si>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</si>
  <si>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</si>
  <si>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</si>
  <si>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</si>
  <si>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</si>
  <si>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</si>
  <si>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</si>
  <si>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</si>
  <si>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</si>
  <si>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</si>
  <si>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</si>
  <si>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</si>
  <si>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</si>
  <si>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</si>
  <si>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</si>
  <si>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</si>
  <si>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</si>
  <si>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</si>
  <si>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</si>
  <si>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</si>
  <si>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</si>
  <si>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</si>
  <si>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</si>
  <si>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</si>
  <si>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</si>
  <si>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</si>
  <si>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</si>
  <si>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</si>
  <si>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</si>
  <si>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</si>
  <si>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</si>
  <si>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</si>
  <si>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</si>
  <si>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3M/2015</t>
  </si>
  <si>
    <t>3M/2016</t>
  </si>
  <si>
    <t>% 3M/2015-3M/2016</t>
  </si>
  <si>
    <t>% 2014-2015</t>
  </si>
  <si>
    <t>2015: % of balance sheet total</t>
  </si>
  <si>
    <t>Assets held for sale</t>
  </si>
  <si>
    <t>3M/2016: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</si>
</sst>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2"/>
      <name val="Times New Roman"/>
      <family val="1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2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23" applyNumberFormat="0" applyAlignment="0" applyProtection="0"/>
    <xf numFmtId="0" fontId="17" fillId="33" borderId="24" applyNumberFormat="0" applyAlignment="0" applyProtection="0"/>
    <xf numFmtId="0" fontId="18" fillId="20" borderId="24" applyNumberFormat="0" applyAlignment="0" applyProtection="0"/>
    <xf numFmtId="0" fontId="19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2" fillId="34" borderId="0" applyNumberFormat="0" applyBorder="0" applyAlignment="0" applyProtection="0"/>
    <xf numFmtId="0" fontId="14" fillId="35" borderId="26" applyNumberFormat="0" applyFont="0" applyAlignment="0" applyProtection="0"/>
    <xf numFmtId="0" fontId="23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36" borderId="31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31" fillId="0" borderId="0" applyProtection="0"/>
    <xf numFmtId="0" fontId="4" fillId="0" borderId="0"/>
    <xf numFmtId="0" fontId="32" fillId="0" borderId="0" applyProtection="0"/>
    <xf numFmtId="0" fontId="33" fillId="0" borderId="0" applyProtection="0"/>
    <xf numFmtId="166" fontId="4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4" fillId="0" borderId="0" applyNumberFormat="0" applyFill="0" applyBorder="0" applyAlignment="0"/>
    <xf numFmtId="167" fontId="35" fillId="37" borderId="1" applyNumberFormat="0" applyFont="0" applyBorder="0" applyAlignment="0"/>
    <xf numFmtId="168" fontId="36" fillId="0" borderId="0" applyFont="0" applyFill="0" applyBorder="0" applyAlignment="0" applyProtection="0"/>
    <xf numFmtId="3" fontId="37" fillId="0" borderId="11" applyNumberFormat="0" applyFill="0" applyBorder="0" applyAlignment="0">
      <protection locked="0"/>
    </xf>
    <xf numFmtId="0" fontId="38" fillId="0" borderId="0"/>
    <xf numFmtId="0" fontId="39" fillId="0" borderId="0"/>
    <xf numFmtId="0" fontId="4" fillId="0" borderId="32" applyNumberFormat="0" applyFont="0" applyFill="0" applyAlignment="0" applyProtection="0"/>
    <xf numFmtId="0" fontId="4" fillId="0" borderId="33" applyNumberFormat="0" applyFont="0" applyFill="0" applyAlignment="0" applyProtection="0"/>
    <xf numFmtId="0" fontId="4" fillId="0" borderId="34" applyNumberFormat="0" applyFont="0" applyFill="0" applyAlignment="0" applyProtection="0"/>
    <xf numFmtId="0" fontId="4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6" fillId="0" borderId="0" applyFont="0" applyFill="0" applyBorder="0" applyAlignment="0" applyProtection="0"/>
    <xf numFmtId="170" fontId="43" fillId="0" borderId="35" applyFont="0" applyFill="0" applyBorder="0" applyProtection="0">
      <alignment horizontal="right"/>
    </xf>
    <xf numFmtId="0" fontId="13" fillId="0" borderId="36" applyNumberFormat="0" applyFont="0" applyFill="0" applyBorder="0" applyProtection="0">
      <alignment horizontal="centerContinuous"/>
    </xf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40" applyNumberFormat="0" applyAlignment="0" applyProtection="0"/>
    <xf numFmtId="0" fontId="52" fillId="43" borderId="43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7" applyNumberFormat="0" applyFill="0" applyAlignment="0" applyProtection="0"/>
    <xf numFmtId="0" fontId="57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40" applyNumberFormat="0" applyAlignment="0" applyProtection="0"/>
    <xf numFmtId="0" fontId="60" fillId="0" borderId="42" applyNumberFormat="0" applyFill="0" applyAlignment="0" applyProtection="0"/>
    <xf numFmtId="0" fontId="53" fillId="44" borderId="44" applyNumberFormat="0" applyFont="0" applyAlignment="0" applyProtection="0"/>
    <xf numFmtId="0" fontId="61" fillId="42" borderId="41" applyNumberFormat="0" applyAlignment="0" applyProtection="0"/>
    <xf numFmtId="0" fontId="46" fillId="0" borderId="0" applyNumberFormat="0" applyFill="0" applyBorder="0" applyAlignment="0" applyProtection="0"/>
    <xf numFmtId="0" fontId="62" fillId="0" borderId="45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  <xf numFmtId="0" fontId="47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9" fontId="6" fillId="4" borderId="2" xfId="1" applyFont="1" applyFill="1" applyBorder="1"/>
    <xf numFmtId="4" fontId="6" fillId="4" borderId="1" xfId="0" applyNumberFormat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9" fontId="6" fillId="4" borderId="3" xfId="1" applyNumberFormat="1" applyFont="1" applyFill="1" applyBorder="1" applyAlignment="1">
      <alignment horizontal="right" wrapText="1"/>
    </xf>
    <xf numFmtId="9" fontId="6" fillId="3" borderId="1" xfId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9" fontId="7" fillId="4" borderId="1" xfId="1" applyNumberFormat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7" fillId="4" borderId="1" xfId="1" applyNumberFormat="1" applyFont="1" applyFill="1" applyBorder="1" applyAlignment="1">
      <alignment wrapText="1"/>
    </xf>
    <xf numFmtId="164" fontId="7" fillId="3" borderId="1" xfId="1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164" fontId="7" fillId="5" borderId="1" xfId="1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 wrapText="1"/>
    </xf>
    <xf numFmtId="4" fontId="7" fillId="4" borderId="4" xfId="0" applyNumberFormat="1" applyFont="1" applyFill="1" applyBorder="1" applyAlignment="1">
      <alignment horizontal="right" wrapText="1"/>
    </xf>
    <xf numFmtId="9" fontId="7" fillId="4" borderId="1" xfId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7" fillId="0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3" fontId="7" fillId="4" borderId="2" xfId="0" applyNumberFormat="1" applyFont="1" applyFill="1" applyBorder="1"/>
    <xf numFmtId="1" fontId="7" fillId="4" borderId="2" xfId="0" applyNumberFormat="1" applyFont="1" applyFill="1" applyBorder="1"/>
    <xf numFmtId="3" fontId="7" fillId="4" borderId="12" xfId="0" applyNumberFormat="1" applyFont="1" applyFill="1" applyBorder="1"/>
    <xf numFmtId="3" fontId="7" fillId="0" borderId="1" xfId="0" applyNumberFormat="1" applyFont="1" applyBorder="1"/>
    <xf numFmtId="3" fontId="7" fillId="4" borderId="4" xfId="0" applyNumberFormat="1" applyFont="1" applyFill="1" applyBorder="1" applyAlignment="1">
      <alignment horizontal="right" wrapText="1"/>
    </xf>
    <xf numFmtId="1" fontId="7" fillId="4" borderId="4" xfId="0" applyNumberFormat="1" applyFont="1" applyFill="1" applyBorder="1" applyAlignment="1">
      <alignment horizontal="right" wrapText="1"/>
    </xf>
    <xf numFmtId="9" fontId="7" fillId="4" borderId="13" xfId="1" applyNumberFormat="1" applyFont="1" applyFill="1" applyBorder="1" applyAlignment="1">
      <alignment horizontal="right" wrapText="1"/>
    </xf>
    <xf numFmtId="9" fontId="7" fillId="4" borderId="14" xfId="1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4" xfId="0" applyNumberFormat="1" applyFont="1" applyFill="1" applyBorder="1"/>
    <xf numFmtId="1" fontId="7" fillId="4" borderId="4" xfId="0" applyNumberFormat="1" applyFont="1" applyFill="1" applyBorder="1"/>
    <xf numFmtId="3" fontId="6" fillId="4" borderId="4" xfId="0" applyNumberFormat="1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right" wrapText="1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7" fillId="5" borderId="16" xfId="0" applyNumberFormat="1" applyFont="1" applyFill="1" applyBorder="1"/>
    <xf numFmtId="3" fontId="7" fillId="0" borderId="16" xfId="0" applyNumberFormat="1" applyFont="1" applyBorder="1"/>
    <xf numFmtId="3" fontId="7" fillId="4" borderId="9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4" borderId="4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6" fillId="7" borderId="1" xfId="0" applyFont="1" applyFill="1" applyBorder="1"/>
    <xf numFmtId="4" fontId="6" fillId="7" borderId="1" xfId="0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9" fontId="6" fillId="7" borderId="1" xfId="1" applyNumberFormat="1" applyFont="1" applyFill="1" applyBorder="1" applyAlignment="1">
      <alignment horizontal="right"/>
    </xf>
    <xf numFmtId="0" fontId="6" fillId="6" borderId="1" xfId="0" applyFont="1" applyFill="1" applyBorder="1"/>
    <xf numFmtId="0" fontId="7" fillId="7" borderId="1" xfId="0" applyFont="1" applyFill="1" applyBorder="1"/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3" fontId="7" fillId="7" borderId="2" xfId="0" applyNumberFormat="1" applyFont="1" applyFill="1" applyBorder="1"/>
    <xf numFmtId="9" fontId="7" fillId="7" borderId="1" xfId="1" applyNumberFormat="1" applyFont="1" applyFill="1" applyBorder="1" applyAlignment="1">
      <alignment horizontal="right" wrapText="1"/>
    </xf>
    <xf numFmtId="1" fontId="7" fillId="7" borderId="2" xfId="0" applyNumberFormat="1" applyFont="1" applyFill="1" applyBorder="1"/>
    <xf numFmtId="3" fontId="7" fillId="7" borderId="12" xfId="0" applyNumberFormat="1" applyFont="1" applyFill="1" applyBorder="1"/>
    <xf numFmtId="3" fontId="7" fillId="0" borderId="12" xfId="0" applyNumberFormat="1" applyFont="1" applyBorder="1"/>
    <xf numFmtId="3" fontId="7" fillId="7" borderId="4" xfId="0" applyNumberFormat="1" applyFont="1" applyFill="1" applyBorder="1" applyAlignment="1">
      <alignment horizontal="right" wrapText="1"/>
    </xf>
    <xf numFmtId="1" fontId="7" fillId="7" borderId="4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 wrapText="1"/>
    </xf>
    <xf numFmtId="9" fontId="7" fillId="7" borderId="13" xfId="1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1" fontId="7" fillId="7" borderId="1" xfId="0" applyNumberFormat="1" applyFont="1" applyFill="1" applyBorder="1"/>
    <xf numFmtId="3" fontId="7" fillId="7" borderId="4" xfId="0" applyNumberFormat="1" applyFont="1" applyFill="1" applyBorder="1"/>
    <xf numFmtId="1" fontId="7" fillId="7" borderId="4" xfId="0" applyNumberFormat="1" applyFont="1" applyFill="1" applyBorder="1"/>
    <xf numFmtId="3" fontId="7" fillId="7" borderId="1" xfId="0" applyNumberFormat="1" applyFont="1" applyFill="1" applyBorder="1" applyAlignment="1">
      <alignment horizontal="right" wrapText="1"/>
    </xf>
    <xf numFmtId="3" fontId="6" fillId="7" borderId="4" xfId="0" applyNumberFormat="1" applyFont="1" applyFill="1" applyBorder="1" applyAlignment="1">
      <alignment horizontal="right" wrapText="1"/>
    </xf>
    <xf numFmtId="3" fontId="6" fillId="7" borderId="1" xfId="0" applyNumberFormat="1" applyFont="1" applyFill="1" applyBorder="1" applyAlignment="1">
      <alignment horizontal="right" wrapText="1"/>
    </xf>
    <xf numFmtId="0" fontId="10" fillId="7" borderId="1" xfId="0" applyFont="1" applyFill="1" applyBorder="1" applyAlignment="1">
      <alignment wrapText="1"/>
    </xf>
    <xf numFmtId="9" fontId="10" fillId="7" borderId="4" xfId="1" applyFont="1" applyFill="1" applyBorder="1" applyAlignment="1">
      <alignment horizontal="right" wrapText="1"/>
    </xf>
    <xf numFmtId="9" fontId="10" fillId="7" borderId="1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7" borderId="2" xfId="0" applyNumberFormat="1" applyFont="1" applyFill="1" applyBorder="1"/>
    <xf numFmtId="9" fontId="7" fillId="7" borderId="2" xfId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4" fontId="7" fillId="7" borderId="4" xfId="0" applyNumberFormat="1" applyFont="1" applyFill="1" applyBorder="1"/>
    <xf numFmtId="4" fontId="6" fillId="7" borderId="1" xfId="0" applyNumberFormat="1" applyFont="1" applyFill="1" applyBorder="1"/>
    <xf numFmtId="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horizontal="right" wrapText="1"/>
    </xf>
    <xf numFmtId="0" fontId="9" fillId="2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 applyAlignment="1">
      <alignment horizontal="right"/>
    </xf>
    <xf numFmtId="0" fontId="6" fillId="10" borderId="1" xfId="0" applyFont="1" applyFill="1" applyBorder="1"/>
    <xf numFmtId="4" fontId="6" fillId="10" borderId="1" xfId="0" applyNumberFormat="1" applyFont="1" applyFill="1" applyBorder="1" applyAlignment="1">
      <alignment horizontal="right"/>
    </xf>
    <xf numFmtId="9" fontId="6" fillId="10" borderId="1" xfId="1" applyNumberFormat="1" applyFont="1" applyFill="1" applyBorder="1" applyAlignment="1">
      <alignment horizontal="right" wrapText="1"/>
    </xf>
    <xf numFmtId="9" fontId="6" fillId="10" borderId="1" xfId="1" applyNumberFormat="1" applyFont="1" applyFill="1" applyBorder="1" applyAlignment="1">
      <alignment horizontal="right"/>
    </xf>
    <xf numFmtId="0" fontId="6" fillId="8" borderId="1" xfId="0" applyFont="1" applyFill="1" applyBorder="1"/>
    <xf numFmtId="0" fontId="7" fillId="10" borderId="1" xfId="0" applyFont="1" applyFill="1" applyBorder="1"/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6" fillId="10" borderId="1" xfId="0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3" fontId="7" fillId="10" borderId="2" xfId="0" applyNumberFormat="1" applyFont="1" applyFill="1" applyBorder="1"/>
    <xf numFmtId="9" fontId="7" fillId="10" borderId="1" xfId="1" applyNumberFormat="1" applyFont="1" applyFill="1" applyBorder="1" applyAlignment="1">
      <alignment horizontal="right" wrapText="1"/>
    </xf>
    <xf numFmtId="1" fontId="7" fillId="10" borderId="2" xfId="0" applyNumberFormat="1" applyFont="1" applyFill="1" applyBorder="1"/>
    <xf numFmtId="3" fontId="7" fillId="10" borderId="12" xfId="0" applyNumberFormat="1" applyFont="1" applyFill="1" applyBorder="1"/>
    <xf numFmtId="9" fontId="7" fillId="4" borderId="4" xfId="1" applyNumberFormat="1" applyFont="1" applyFill="1" applyBorder="1" applyAlignment="1">
      <alignment horizontal="right" wrapText="1"/>
    </xf>
    <xf numFmtId="3" fontId="7" fillId="10" borderId="4" xfId="0" applyNumberFormat="1" applyFont="1" applyFill="1" applyBorder="1" applyAlignment="1">
      <alignment horizontal="right" wrapText="1"/>
    </xf>
    <xf numFmtId="1" fontId="7" fillId="10" borderId="4" xfId="0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horizontal="right" wrapText="1"/>
    </xf>
    <xf numFmtId="9" fontId="7" fillId="10" borderId="13" xfId="1" applyNumberFormat="1" applyFont="1" applyFill="1" applyBorder="1" applyAlignment="1">
      <alignment horizontal="right" wrapText="1"/>
    </xf>
    <xf numFmtId="9" fontId="7" fillId="4" borderId="17" xfId="1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1" fontId="7" fillId="10" borderId="1" xfId="0" applyNumberFormat="1" applyFont="1" applyFill="1" applyBorder="1"/>
    <xf numFmtId="3" fontId="7" fillId="10" borderId="4" xfId="0" applyNumberFormat="1" applyFont="1" applyFill="1" applyBorder="1"/>
    <xf numFmtId="1" fontId="7" fillId="10" borderId="4" xfId="0" applyNumberFormat="1" applyFont="1" applyFill="1" applyBorder="1"/>
    <xf numFmtId="3" fontId="7" fillId="10" borderId="1" xfId="0" applyNumberFormat="1" applyFont="1" applyFill="1" applyBorder="1" applyAlignment="1">
      <alignment horizontal="right" wrapText="1"/>
    </xf>
    <xf numFmtId="0" fontId="6" fillId="10" borderId="1" xfId="0" applyFont="1" applyFill="1" applyBorder="1" applyAlignment="1">
      <alignment wrapText="1"/>
    </xf>
    <xf numFmtId="3" fontId="6" fillId="10" borderId="4" xfId="0" applyNumberFormat="1" applyFont="1" applyFill="1" applyBorder="1" applyAlignment="1">
      <alignment horizontal="right" wrapText="1"/>
    </xf>
    <xf numFmtId="3" fontId="6" fillId="10" borderId="1" xfId="0" applyNumberFormat="1" applyFont="1" applyFill="1" applyBorder="1" applyAlignment="1">
      <alignment horizontal="right" wrapText="1"/>
    </xf>
    <xf numFmtId="9" fontId="6" fillId="4" borderId="4" xfId="1" applyNumberFormat="1" applyFont="1" applyFill="1" applyBorder="1" applyAlignment="1">
      <alignment horizontal="right" wrapText="1"/>
    </xf>
    <xf numFmtId="0" fontId="10" fillId="10" borderId="1" xfId="0" applyFont="1" applyFill="1" applyBorder="1" applyAlignment="1">
      <alignment wrapText="1"/>
    </xf>
    <xf numFmtId="9" fontId="10" fillId="10" borderId="4" xfId="1" applyFont="1" applyFill="1" applyBorder="1" applyAlignment="1">
      <alignment horizontal="right" wrapText="1"/>
    </xf>
    <xf numFmtId="9" fontId="10" fillId="10" borderId="1" xfId="1" applyFont="1" applyFill="1" applyBorder="1" applyAlignment="1">
      <alignment horizontal="right" wrapText="1"/>
    </xf>
    <xf numFmtId="9" fontId="10" fillId="4" borderId="4" xfId="1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4" fontId="7" fillId="10" borderId="2" xfId="0" applyNumberFormat="1" applyFont="1" applyFill="1" applyBorder="1"/>
    <xf numFmtId="9" fontId="7" fillId="10" borderId="2" xfId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4" fontId="7" fillId="10" borderId="4" xfId="0" applyNumberFormat="1" applyFont="1" applyFill="1" applyBorder="1"/>
    <xf numFmtId="4" fontId="6" fillId="10" borderId="1" xfId="0" applyNumberFormat="1" applyFont="1" applyFill="1" applyBorder="1"/>
    <xf numFmtId="4" fontId="6" fillId="10" borderId="1" xfId="0" applyNumberFormat="1" applyFont="1" applyFill="1" applyBorder="1" applyAlignment="1">
      <alignment wrapText="1"/>
    </xf>
    <xf numFmtId="4" fontId="6" fillId="10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4" fontId="6" fillId="11" borderId="1" xfId="0" applyNumberFormat="1" applyFont="1" applyFill="1" applyBorder="1" applyAlignment="1">
      <alignment horizontal="right"/>
    </xf>
    <xf numFmtId="9" fontId="6" fillId="11" borderId="1" xfId="1" applyNumberFormat="1" applyFont="1" applyFill="1" applyBorder="1" applyAlignment="1">
      <alignment horizontal="right" wrapText="1"/>
    </xf>
    <xf numFmtId="9" fontId="6" fillId="11" borderId="1" xfId="1" applyNumberFormat="1" applyFont="1" applyFill="1" applyBorder="1" applyAlignment="1">
      <alignment horizontal="right"/>
    </xf>
    <xf numFmtId="0" fontId="6" fillId="9" borderId="1" xfId="0" applyFont="1" applyFill="1" applyBorder="1"/>
    <xf numFmtId="0" fontId="7" fillId="11" borderId="1" xfId="0" applyFont="1" applyFill="1" applyBorder="1"/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right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3" fontId="7" fillId="11" borderId="2" xfId="0" applyNumberFormat="1" applyFont="1" applyFill="1" applyBorder="1"/>
    <xf numFmtId="9" fontId="7" fillId="11" borderId="1" xfId="1" applyNumberFormat="1" applyFont="1" applyFill="1" applyBorder="1" applyAlignment="1">
      <alignment horizontal="right" wrapText="1"/>
    </xf>
    <xf numFmtId="1" fontId="7" fillId="11" borderId="2" xfId="0" applyNumberFormat="1" applyFont="1" applyFill="1" applyBorder="1"/>
    <xf numFmtId="3" fontId="7" fillId="11" borderId="1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1" fontId="7" fillId="11" borderId="4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9" fontId="7" fillId="11" borderId="13" xfId="1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1" fontId="7" fillId="11" borderId="1" xfId="0" applyNumberFormat="1" applyFont="1" applyFill="1" applyBorder="1"/>
    <xf numFmtId="3" fontId="7" fillId="11" borderId="4" xfId="0" applyNumberFormat="1" applyFont="1" applyFill="1" applyBorder="1"/>
    <xf numFmtId="1" fontId="7" fillId="11" borderId="4" xfId="0" applyNumberFormat="1" applyFont="1" applyFill="1" applyBorder="1"/>
    <xf numFmtId="3" fontId="7" fillId="11" borderId="1" xfId="0" applyNumberFormat="1" applyFont="1" applyFill="1" applyBorder="1" applyAlignment="1">
      <alignment horizontal="right" wrapText="1"/>
    </xf>
    <xf numFmtId="3" fontId="6" fillId="11" borderId="4" xfId="0" applyNumberFormat="1" applyFont="1" applyFill="1" applyBorder="1" applyAlignment="1">
      <alignment horizontal="right" wrapText="1"/>
    </xf>
    <xf numFmtId="3" fontId="6" fillId="11" borderId="1" xfId="0" applyNumberFormat="1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9" fontId="10" fillId="11" borderId="4" xfId="1" applyFont="1" applyFill="1" applyBorder="1" applyAlignment="1">
      <alignment horizontal="right" wrapText="1"/>
    </xf>
    <xf numFmtId="9" fontId="10" fillId="11" borderId="1" xfId="1" applyFont="1" applyFill="1" applyBorder="1" applyAlignment="1">
      <alignment horizontal="right" wrapText="1"/>
    </xf>
    <xf numFmtId="4" fontId="7" fillId="11" borderId="2" xfId="0" applyNumberFormat="1" applyFont="1" applyFill="1" applyBorder="1"/>
    <xf numFmtId="9" fontId="7" fillId="11" borderId="2" xfId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4" fontId="7" fillId="11" borderId="4" xfId="0" applyNumberFormat="1" applyFont="1" applyFill="1" applyBorder="1"/>
    <xf numFmtId="4" fontId="6" fillId="11" borderId="1" xfId="0" applyNumberFormat="1" applyFont="1" applyFill="1" applyBorder="1"/>
    <xf numFmtId="4" fontId="6" fillId="11" borderId="1" xfId="0" applyNumberFormat="1" applyFont="1" applyFill="1" applyBorder="1" applyAlignment="1">
      <alignment wrapText="1"/>
    </xf>
    <xf numFmtId="4" fontId="6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right"/>
    </xf>
    <xf numFmtId="0" fontId="6" fillId="13" borderId="1" xfId="0" applyFont="1" applyFill="1" applyBorder="1"/>
    <xf numFmtId="4" fontId="6" fillId="13" borderId="1" xfId="0" applyNumberFormat="1" applyFont="1" applyFill="1" applyBorder="1" applyAlignment="1">
      <alignment horizontal="right"/>
    </xf>
    <xf numFmtId="9" fontId="6" fillId="13" borderId="1" xfId="1" applyNumberFormat="1" applyFont="1" applyFill="1" applyBorder="1" applyAlignment="1">
      <alignment horizontal="right" wrapText="1"/>
    </xf>
    <xf numFmtId="9" fontId="6" fillId="13" borderId="1" xfId="1" applyNumberFormat="1" applyFont="1" applyFill="1" applyBorder="1" applyAlignment="1">
      <alignment horizontal="right"/>
    </xf>
    <xf numFmtId="0" fontId="6" fillId="8" borderId="4" xfId="0" applyFont="1" applyFill="1" applyBorder="1"/>
    <xf numFmtId="9" fontId="6" fillId="8" borderId="1" xfId="1" applyFont="1" applyFill="1" applyBorder="1"/>
    <xf numFmtId="0" fontId="7" fillId="13" borderId="1" xfId="0" applyFont="1" applyFill="1" applyBorder="1"/>
    <xf numFmtId="164" fontId="7" fillId="13" borderId="1" xfId="1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13" borderId="1" xfId="1" applyNumberFormat="1" applyFont="1" applyFill="1" applyBorder="1" applyAlignment="1">
      <alignment horizontal="right" wrapText="1"/>
    </xf>
    <xf numFmtId="2" fontId="7" fillId="13" borderId="1" xfId="0" applyNumberFormat="1" applyFont="1" applyFill="1" applyBorder="1" applyAlignment="1">
      <alignment horizontal="right" vertical="center" wrapText="1"/>
    </xf>
    <xf numFmtId="9" fontId="7" fillId="13" borderId="13" xfId="1" applyNumberFormat="1" applyFont="1" applyFill="1" applyBorder="1" applyAlignment="1">
      <alignment horizontal="right" vertical="center"/>
    </xf>
    <xf numFmtId="2" fontId="7" fillId="13" borderId="13" xfId="0" applyNumberFormat="1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164" fontId="7" fillId="13" borderId="3" xfId="1" applyNumberFormat="1" applyFont="1" applyFill="1" applyBorder="1" applyAlignment="1">
      <alignment horizontal="right"/>
    </xf>
    <xf numFmtId="164" fontId="7" fillId="13" borderId="18" xfId="1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right"/>
    </xf>
    <xf numFmtId="0" fontId="7" fillId="13" borderId="5" xfId="0" applyFont="1" applyFill="1" applyBorder="1" applyAlignment="1">
      <alignment horizontal="right"/>
    </xf>
    <xf numFmtId="0" fontId="6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3" fontId="7" fillId="13" borderId="2" xfId="0" applyNumberFormat="1" applyFont="1" applyFill="1" applyBorder="1"/>
    <xf numFmtId="1" fontId="7" fillId="13" borderId="2" xfId="0" applyNumberFormat="1" applyFont="1" applyFill="1" applyBorder="1"/>
    <xf numFmtId="3" fontId="7" fillId="13" borderId="1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1" fontId="7" fillId="13" borderId="4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horizontal="right" wrapText="1"/>
    </xf>
    <xf numFmtId="9" fontId="7" fillId="13" borderId="13" xfId="1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1" fontId="7" fillId="13" borderId="1" xfId="0" applyNumberFormat="1" applyFont="1" applyFill="1" applyBorder="1"/>
    <xf numFmtId="3" fontId="7" fillId="13" borderId="4" xfId="0" applyNumberFormat="1" applyFont="1" applyFill="1" applyBorder="1"/>
    <xf numFmtId="1" fontId="7" fillId="13" borderId="4" xfId="0" applyNumberFormat="1" applyFont="1" applyFill="1" applyBorder="1"/>
    <xf numFmtId="3" fontId="7" fillId="13" borderId="1" xfId="0" applyNumberFormat="1" applyFont="1" applyFill="1" applyBorder="1" applyAlignment="1">
      <alignment horizontal="right" wrapText="1"/>
    </xf>
    <xf numFmtId="0" fontId="6" fillId="13" borderId="1" xfId="0" applyFont="1" applyFill="1" applyBorder="1" applyAlignment="1">
      <alignment wrapText="1"/>
    </xf>
    <xf numFmtId="3" fontId="6" fillId="13" borderId="4" xfId="0" applyNumberFormat="1" applyFont="1" applyFill="1" applyBorder="1" applyAlignment="1">
      <alignment horizontal="right" wrapText="1"/>
    </xf>
    <xf numFmtId="3" fontId="6" fillId="13" borderId="1" xfId="0" applyNumberFormat="1" applyFont="1" applyFill="1" applyBorder="1" applyAlignment="1">
      <alignment horizontal="right" wrapText="1"/>
    </xf>
    <xf numFmtId="0" fontId="10" fillId="13" borderId="1" xfId="0" applyFont="1" applyFill="1" applyBorder="1" applyAlignment="1">
      <alignment wrapText="1"/>
    </xf>
    <xf numFmtId="9" fontId="10" fillId="13" borderId="4" xfId="1" applyFont="1" applyFill="1" applyBorder="1" applyAlignment="1">
      <alignment horizontal="right" wrapText="1"/>
    </xf>
    <xf numFmtId="9" fontId="10" fillId="13" borderId="1" xfId="1" applyFont="1" applyFill="1" applyBorder="1" applyAlignment="1">
      <alignment horizontal="right" wrapText="1"/>
    </xf>
    <xf numFmtId="9" fontId="10" fillId="4" borderId="3" xfId="1" applyNumberFormat="1" applyFont="1" applyFill="1" applyBorder="1" applyAlignment="1">
      <alignment horizontal="right" wrapText="1"/>
    </xf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7" fillId="13" borderId="4" xfId="0" applyNumberFormat="1" applyFont="1" applyFill="1" applyBorder="1"/>
    <xf numFmtId="4" fontId="6" fillId="13" borderId="1" xfId="0" applyNumberFormat="1" applyFont="1" applyFill="1" applyBorder="1"/>
    <xf numFmtId="4" fontId="6" fillId="13" borderId="1" xfId="0" applyNumberFormat="1" applyFont="1" applyFill="1" applyBorder="1" applyAlignment="1">
      <alignment wrapText="1"/>
    </xf>
    <xf numFmtId="4" fontId="6" fillId="13" borderId="1" xfId="0" applyNumberFormat="1" applyFont="1" applyFill="1" applyBorder="1" applyAlignment="1">
      <alignment horizontal="right" wrapText="1"/>
    </xf>
    <xf numFmtId="9" fontId="6" fillId="7" borderId="2" xfId="1" applyFont="1" applyFill="1" applyBorder="1"/>
    <xf numFmtId="9" fontId="6" fillId="10" borderId="2" xfId="1" applyFont="1" applyFill="1" applyBorder="1"/>
    <xf numFmtId="9" fontId="6" fillId="11" borderId="2" xfId="1" applyFont="1" applyFill="1" applyBorder="1"/>
    <xf numFmtId="9" fontId="7" fillId="13" borderId="2" xfId="1" applyFont="1" applyFill="1" applyBorder="1"/>
    <xf numFmtId="9" fontId="6" fillId="13" borderId="2" xfId="1" applyFont="1" applyFill="1" applyBorder="1"/>
    <xf numFmtId="2" fontId="7" fillId="7" borderId="2" xfId="0" applyNumberFormat="1" applyFont="1" applyFill="1" applyBorder="1"/>
    <xf numFmtId="2" fontId="7" fillId="7" borderId="4" xfId="0" applyNumberFormat="1" applyFont="1" applyFill="1" applyBorder="1" applyAlignment="1">
      <alignment horizontal="right" wrapText="1"/>
    </xf>
    <xf numFmtId="2" fontId="7" fillId="7" borderId="1" xfId="0" applyNumberFormat="1" applyFont="1" applyFill="1" applyBorder="1"/>
    <xf numFmtId="9" fontId="7" fillId="4" borderId="12" xfId="1" applyNumberFormat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7" fillId="4" borderId="12" xfId="1" applyFont="1" applyFill="1" applyBorder="1"/>
    <xf numFmtId="4" fontId="7" fillId="4" borderId="12" xfId="0" applyNumberFormat="1" applyFont="1" applyFill="1" applyBorder="1"/>
    <xf numFmtId="0" fontId="7" fillId="5" borderId="1" xfId="0" applyFont="1" applyFill="1" applyBorder="1" applyAlignment="1">
      <alignment horizontal="right" wrapText="1"/>
    </xf>
    <xf numFmtId="9" fontId="6" fillId="8" borderId="4" xfId="1" applyNumberFormat="1" applyFont="1" applyFill="1" applyBorder="1"/>
    <xf numFmtId="4" fontId="7" fillId="3" borderId="1" xfId="0" applyNumberFormat="1" applyFont="1" applyFill="1" applyBorder="1" applyAlignment="1">
      <alignment wrapText="1"/>
    </xf>
    <xf numFmtId="4" fontId="7" fillId="4" borderId="17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9" fontId="7" fillId="4" borderId="20" xfId="1" applyFont="1" applyFill="1" applyBorder="1"/>
    <xf numFmtId="9" fontId="6" fillId="4" borderId="1" xfId="1" applyFont="1" applyFill="1" applyBorder="1"/>
    <xf numFmtId="4" fontId="7" fillId="7" borderId="17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wrapText="1"/>
    </xf>
    <xf numFmtId="9" fontId="7" fillId="7" borderId="13" xfId="1" applyFont="1" applyFill="1" applyBorder="1"/>
    <xf numFmtId="9" fontId="6" fillId="7" borderId="21" xfId="1" applyFont="1" applyFill="1" applyBorder="1"/>
    <xf numFmtId="4" fontId="7" fillId="11" borderId="17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9" fontId="6" fillId="11" borderId="1" xfId="1" applyFont="1" applyFill="1" applyBorder="1"/>
    <xf numFmtId="4" fontId="7" fillId="10" borderId="17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6" fillId="10" borderId="1" xfId="1" applyFont="1" applyFill="1" applyBorder="1"/>
    <xf numFmtId="4" fontId="7" fillId="13" borderId="1" xfId="0" applyNumberFormat="1" applyFont="1" applyFill="1" applyBorder="1" applyAlignment="1">
      <alignment horizontal="right" wrapText="1"/>
    </xf>
    <xf numFmtId="9" fontId="7" fillId="13" borderId="1" xfId="1" applyFont="1" applyFill="1" applyBorder="1"/>
    <xf numFmtId="9" fontId="6" fillId="13" borderId="1" xfId="1" applyFont="1" applyFill="1" applyBorder="1"/>
    <xf numFmtId="9" fontId="6" fillId="5" borderId="1" xfId="1" applyNumberFormat="1" applyFont="1" applyFill="1" applyBorder="1" applyAlignment="1">
      <alignment horizontal="right" wrapText="1"/>
    </xf>
    <xf numFmtId="9" fontId="7" fillId="10" borderId="2" xfId="1" applyFont="1" applyFill="1" applyBorder="1" applyAlignment="1">
      <alignment horizontal="right"/>
    </xf>
    <xf numFmtId="4" fontId="6" fillId="9" borderId="1" xfId="0" applyNumberFormat="1" applyFont="1" applyFill="1" applyBorder="1"/>
    <xf numFmtId="3" fontId="7" fillId="5" borderId="2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4" borderId="9" xfId="0" applyFont="1" applyFill="1" applyBorder="1" applyAlignment="1">
      <alignment horizontal="right" wrapText="1"/>
    </xf>
    <xf numFmtId="4" fontId="7" fillId="0" borderId="4" xfId="0" applyNumberFormat="1" applyFont="1" applyFill="1" applyBorder="1"/>
    <xf numFmtId="4" fontId="6" fillId="0" borderId="1" xfId="0" applyNumberFormat="1" applyFont="1" applyFill="1" applyBorder="1" applyAlignment="1">
      <alignment wrapText="1"/>
    </xf>
    <xf numFmtId="3" fontId="6" fillId="11" borderId="1" xfId="0" applyNumberFormat="1" applyFont="1" applyFill="1" applyBorder="1"/>
    <xf numFmtId="9" fontId="10" fillId="11" borderId="1" xfId="1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 vertical="center"/>
    </xf>
    <xf numFmtId="9" fontId="7" fillId="13" borderId="1" xfId="1" applyNumberFormat="1" applyFont="1" applyFill="1" applyBorder="1" applyAlignment="1">
      <alignment horizontal="right" vertical="center"/>
    </xf>
    <xf numFmtId="2" fontId="7" fillId="13" borderId="19" xfId="0" applyNumberFormat="1" applyFont="1" applyFill="1" applyBorder="1" applyAlignment="1">
      <alignment horizontal="right" wrapText="1"/>
    </xf>
    <xf numFmtId="9" fontId="7" fillId="13" borderId="2" xfId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0" fontId="5" fillId="14" borderId="1" xfId="0" applyFont="1" applyFill="1" applyBorder="1" applyAlignment="1">
      <alignment horizontal="center" wrapText="1"/>
    </xf>
    <xf numFmtId="0" fontId="5" fillId="14" borderId="1" xfId="0" applyFont="1" applyFill="1" applyBorder="1" applyAlignment="1" applyProtection="1">
      <alignment horizontal="left" wrapText="1"/>
      <protection locked="0"/>
    </xf>
    <xf numFmtId="0" fontId="5" fillId="14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1" xfId="1" applyNumberFormat="1" applyFont="1" applyFill="1" applyBorder="1" applyAlignment="1" applyProtection="1">
      <alignment horizontal="right" wrapText="1"/>
      <protection locked="0"/>
    </xf>
    <xf numFmtId="9" fontId="6" fillId="0" borderId="2" xfId="1" applyFont="1" applyFill="1" applyBorder="1" applyProtection="1">
      <protection locked="0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4" xfId="1" applyFont="1" applyFill="1" applyBorder="1" applyAlignment="1" applyProtection="1">
      <alignment horizontal="right" wrapText="1"/>
      <protection locked="0"/>
    </xf>
    <xf numFmtId="3" fontId="7" fillId="0" borderId="4" xfId="0" applyNumberFormat="1" applyFont="1" applyFill="1" applyBorder="1" applyAlignment="1" applyProtection="1">
      <alignment horizontal="right" wrapText="1"/>
      <protection locked="0"/>
    </xf>
    <xf numFmtId="3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4" xfId="0" applyFont="1" applyFill="1" applyBorder="1" applyAlignment="1" applyProtection="1">
      <alignment horizontal="right" wrapText="1"/>
      <protection locked="0"/>
    </xf>
    <xf numFmtId="4" fontId="7" fillId="0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Font="1" applyFill="1" applyBorder="1" applyAlignment="1" applyProtection="1">
      <alignment horizontal="right" wrapText="1"/>
      <protection locked="0"/>
    </xf>
    <xf numFmtId="4" fontId="7" fillId="0" borderId="4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4" fontId="6" fillId="0" borderId="6" xfId="0" applyNumberFormat="1" applyFont="1" applyFill="1" applyBorder="1" applyAlignment="1" applyProtection="1">
      <alignment horizontal="right" wrapText="1"/>
      <protection locked="0"/>
    </xf>
    <xf numFmtId="9" fontId="6" fillId="0" borderId="8" xfId="1" applyFont="1" applyFill="1" applyBorder="1" applyAlignment="1" applyProtection="1">
      <alignment horizontal="right" wrapText="1"/>
      <protection locked="0"/>
    </xf>
    <xf numFmtId="4" fontId="6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9" xfId="0" applyNumberFormat="1" applyFont="1" applyFill="1" applyBorder="1" applyAlignment="1" applyProtection="1">
      <alignment horizontal="right" wrapText="1"/>
      <protection locked="0"/>
    </xf>
    <xf numFmtId="9" fontId="7" fillId="0" borderId="8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7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9" xfId="0" applyNumberFormat="1" applyFont="1" applyFill="1" applyBorder="1" applyAlignment="1" applyProtection="1">
      <alignment horizontal="right" wrapText="1"/>
      <protection locked="0"/>
    </xf>
    <xf numFmtId="9" fontId="6" fillId="0" borderId="10" xfId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horizontal="right" wrapText="1"/>
      <protection locked="0"/>
    </xf>
    <xf numFmtId="0" fontId="7" fillId="0" borderId="11" xfId="0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wrapText="1"/>
      <protection locked="0"/>
    </xf>
    <xf numFmtId="164" fontId="7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7" fillId="0" borderId="1" xfId="1" quotePrefix="1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wrapText="1"/>
      <protection locked="0"/>
    </xf>
    <xf numFmtId="9" fontId="6" fillId="0" borderId="22" xfId="1" applyFont="1" applyFill="1" applyBorder="1" applyProtection="1">
      <protection locked="0"/>
    </xf>
    <xf numFmtId="9" fontId="7" fillId="0" borderId="20" xfId="1" applyFont="1" applyFill="1" applyBorder="1" applyProtection="1">
      <protection locked="0"/>
    </xf>
    <xf numFmtId="2" fontId="7" fillId="0" borderId="4" xfId="0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164" fontId="6" fillId="0" borderId="4" xfId="1" applyNumberFormat="1" applyFont="1" applyFill="1" applyBorder="1" applyAlignment="1" applyProtection="1">
      <alignment horizontal="right" wrapText="1"/>
      <protection locked="0"/>
    </xf>
    <xf numFmtId="164" fontId="6" fillId="0" borderId="1" xfId="1" applyNumberFormat="1" applyFont="1" applyFill="1" applyBorder="1" applyAlignment="1" applyProtection="1">
      <alignment horizontal="right" wrapText="1"/>
      <protection locked="0"/>
    </xf>
    <xf numFmtId="4" fontId="6" fillId="6" borderId="1" xfId="0" applyNumberFormat="1" applyFont="1" applyFill="1" applyBorder="1"/>
    <xf numFmtId="4" fontId="6" fillId="1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wrapText="1"/>
    </xf>
    <xf numFmtId="4" fontId="6" fillId="9" borderId="1" xfId="0" applyNumberFormat="1" applyFont="1" applyFill="1" applyBorder="1"/>
    <xf numFmtId="4" fontId="6" fillId="3" borderId="1" xfId="0" applyNumberFormat="1" applyFont="1" applyFill="1" applyBorder="1" applyAlignment="1">
      <alignment wrapText="1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0" fontId="10" fillId="13" borderId="13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  <xf numFmtId="9" fontId="7" fillId="11" borderId="2" xfId="1" applyFont="1" applyFill="1" applyBorder="1" applyAlignment="1">
      <alignment horizontal="right"/>
    </xf>
    <xf numFmtId="9" fontId="6" fillId="13" borderId="2" xfId="1" applyFont="1" applyFill="1" applyBorder="1" applyAlignment="1">
      <alignment horizontal="right"/>
    </xf>
  </cellXfs>
  <cellStyles count="149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9"/>
    <cellStyle name="Berechnung 2" xfId="50"/>
    <cellStyle name="bg" xfId="70"/>
    <cellStyle name="Calculation" xfId="120"/>
    <cellStyle name="cgf10" xfId="71"/>
    <cellStyle name="cgfett#" xfId="72"/>
    <cellStyle name="Check Cell" xfId="121"/>
    <cellStyle name="Eingabe 2" xfId="51"/>
    <cellStyle name="Ergebnis 2" xfId="52"/>
    <cellStyle name="Erklärender Text 2" xfId="53"/>
    <cellStyle name="Euro" xfId="73"/>
    <cellStyle name="Explanatory Text" xfId="122"/>
    <cellStyle name="formel" xfId="74"/>
    <cellStyle name="gesperrt" xfId="75"/>
    <cellStyle name="Good" xfId="123"/>
    <cellStyle name="Gut 2" xfId="54"/>
    <cellStyle name="Hard no." xfId="76"/>
    <cellStyle name="Heading 1" xfId="124"/>
    <cellStyle name="Heading 2" xfId="125"/>
    <cellStyle name="Heading 3" xfId="126"/>
    <cellStyle name="Heading 4" xfId="127"/>
    <cellStyle name="Input" xfId="128"/>
    <cellStyle name="Komma 2" xfId="2"/>
    <cellStyle name="Komma 3" xfId="136"/>
    <cellStyle name="Linked Cell" xfId="129"/>
    <cellStyle name="Migliaia (0)" xfId="77"/>
    <cellStyle name="Neutral 2" xfId="55"/>
    <cellStyle name="nicht gesperrt" xfId="78"/>
    <cellStyle name="Normal_Bilanz_Mittelmann_99_00" xfId="79"/>
    <cellStyle name="Normalny_Anlage G_1" xfId="80"/>
    <cellStyle name="Note" xfId="130"/>
    <cellStyle name="Notiz 2" xfId="56"/>
    <cellStyle name="Output" xfId="131"/>
    <cellStyle name="Prozent" xfId="1" builtinId="5"/>
    <cellStyle name="Prozent 2" xfId="3"/>
    <cellStyle name="Prozent 2 2" xfId="68"/>
    <cellStyle name="Prozent 3" xfId="4"/>
    <cellStyle name="Prozent 3 2" xfId="92"/>
    <cellStyle name="Rahmen fett links" xfId="81"/>
    <cellStyle name="Rahmen fett rechts" xfId="82"/>
    <cellStyle name="Rahmen fett unten" xfId="83"/>
    <cellStyle name="Schlecht 2" xfId="57"/>
    <cellStyle name="schraffiert" xfId="84"/>
    <cellStyle name="Standard" xfId="0" builtinId="0"/>
    <cellStyle name="Standard 2" xfId="5"/>
    <cellStyle name="Standard 2 2" xfId="67"/>
    <cellStyle name="Standard 2 3" xfId="94"/>
    <cellStyle name="Standard 3" xfId="66"/>
    <cellStyle name="Standard 3 2" xfId="139"/>
    <cellStyle name="Standard 4" xfId="91"/>
    <cellStyle name="Standard 5" xfId="6"/>
    <cellStyle name="Standard 5 2" xfId="135"/>
    <cellStyle name="Standard 5 3" xfId="143"/>
    <cellStyle name="Standard 6" xfId="93"/>
    <cellStyle name="Standard 6 2" xfId="137"/>
    <cellStyle name="Standard 6 2 2" xfId="141"/>
    <cellStyle name="Standard 6 2 2 2" xfId="147"/>
    <cellStyle name="Standard 6 2 3" xfId="145"/>
    <cellStyle name="Standard 6 3" xfId="144"/>
    <cellStyle name="Standard 7" xfId="140"/>
    <cellStyle name="Standard 7 2" xfId="142"/>
    <cellStyle name="Standard 7 2 2" xfId="148"/>
    <cellStyle name="Standard 7 3" xfId="146"/>
    <cellStyle name="Titel" xfId="85"/>
    <cellStyle name="Title" xfId="132"/>
    <cellStyle name="Total" xfId="133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8"/>
    <cellStyle name="Ueberschrift 1" xfId="86"/>
    <cellStyle name="Ueberschrift 2" xfId="87"/>
    <cellStyle name="Valuta (0)" xfId="88"/>
    <cellStyle name="Verknüpfte Zelle 2" xfId="63"/>
    <cellStyle name="Warnender Text 2" xfId="64"/>
    <cellStyle name="Warning Text" xfId="134"/>
    <cellStyle name="zahl" xfId="89"/>
    <cellStyle name="Zelle überprüfen 2" xfId="65"/>
    <cellStyle name="zentr.ü.Ausw.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9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 activeCell="C92" sqref="C92"/>
    </sheetView>
  </sheetViews>
  <sheetFormatPr baseColWidth="10" defaultColWidth="22.44140625" defaultRowHeight="10.199999999999999" outlineLevelCol="1"/>
  <cols>
    <col min="1" max="1" width="22.44140625" style="11" customWidth="1"/>
    <col min="2" max="7" width="10.88671875" style="24" customWidth="1"/>
    <col min="8" max="13" width="10.88671875" style="24" hidden="1" customWidth="1" outlineLevel="1"/>
    <col min="14" max="14" width="22.44140625" style="15" customWidth="1" collapsed="1"/>
    <col min="15" max="20" width="22.44140625" style="15" customWidth="1"/>
    <col min="21" max="16384" width="22.44140625" style="11"/>
  </cols>
  <sheetData>
    <row r="1" spans="1:20" s="1" customFormat="1" ht="24.75" customHeight="1">
      <c r="A1" s="293" t="s">
        <v>0</v>
      </c>
      <c r="B1" s="294" t="s">
        <v>151</v>
      </c>
      <c r="C1" s="294" t="s">
        <v>152</v>
      </c>
      <c r="D1" s="294" t="s">
        <v>150</v>
      </c>
      <c r="E1" s="294">
        <v>2015</v>
      </c>
      <c r="F1" s="294" t="s">
        <v>153</v>
      </c>
      <c r="G1" s="294">
        <v>2014</v>
      </c>
      <c r="H1" s="294" t="s">
        <v>1</v>
      </c>
      <c r="I1" s="294">
        <v>2013</v>
      </c>
      <c r="J1" s="294" t="s">
        <v>2</v>
      </c>
      <c r="K1" s="294">
        <v>2012</v>
      </c>
      <c r="L1" s="294" t="s">
        <v>3</v>
      </c>
      <c r="M1" s="294">
        <v>2011</v>
      </c>
      <c r="N1" s="292"/>
      <c r="O1" s="2"/>
      <c r="P1" s="2"/>
      <c r="Q1" s="2"/>
      <c r="R1" s="2"/>
      <c r="S1" s="2"/>
      <c r="T1" s="2"/>
    </row>
    <row r="2" spans="1:20" s="3" customFormat="1">
      <c r="A2" s="295" t="s">
        <v>4</v>
      </c>
      <c r="B2" s="296">
        <f>B186</f>
        <v>2256.9299999999998</v>
      </c>
      <c r="C2" s="297">
        <f>IF((+B2/D2)&lt;0,"n.m.",IF(B2&lt;0,(+B2/D2-1)*-1,(+B2/D2-1)))</f>
        <v>-8.5648654561365278E-2</v>
      </c>
      <c r="D2" s="296">
        <f>D186</f>
        <v>2468.34</v>
      </c>
      <c r="E2" s="296">
        <f>E186</f>
        <v>14289.76</v>
      </c>
      <c r="F2" s="298">
        <f>IF((+E2/G2)&lt;0,"n.m.",IF(E2&lt;0,(+E2/G2-1)*-1,(+E2/G2-1)))</f>
        <v>5.3351024620374554E-2</v>
      </c>
      <c r="G2" s="296">
        <f>G186</f>
        <v>13566</v>
      </c>
      <c r="H2" s="298">
        <f>IF((+G2/I2)&lt;0,"n.m.",IF(G2&lt;0,(+G2/I2-1)*-1,(+G2/I2-1)))</f>
        <v>-5.2088436882735678E-4</v>
      </c>
      <c r="I2" s="296">
        <v>13573.07</v>
      </c>
      <c r="J2" s="297">
        <f>(I2-K2)/K2</f>
        <v>-3.3436115819008044E-2</v>
      </c>
      <c r="K2" s="296">
        <v>14042.600000000002</v>
      </c>
      <c r="L2" s="297">
        <v>-1.9771950704495715E-2</v>
      </c>
      <c r="M2" s="296">
        <v>14325.850000000002</v>
      </c>
      <c r="N2" s="7"/>
      <c r="O2" s="7"/>
      <c r="P2" s="7"/>
      <c r="Q2" s="7"/>
      <c r="R2" s="7"/>
      <c r="S2" s="7"/>
      <c r="T2" s="7"/>
    </row>
    <row r="3" spans="1:20" s="3" customFormat="1">
      <c r="A3" s="295" t="s">
        <v>5</v>
      </c>
      <c r="B3" s="296">
        <f>B216</f>
        <v>13976.619999999999</v>
      </c>
      <c r="C3" s="297">
        <f>IF((+B3/D3)&lt;0,"n.m.",IF(B3&lt;0,(+B3/D3-1)*-1,(+B3/D3-1)))</f>
        <v>-7.6110422910599107E-2</v>
      </c>
      <c r="D3" s="296">
        <f>D216</f>
        <v>15128.02</v>
      </c>
      <c r="E3" s="296">
        <f>E216</f>
        <v>13134.58</v>
      </c>
      <c r="F3" s="298">
        <f t="shared" ref="F3:F28" si="0">IF((+E3/G3)&lt;0,"n.m.",IF(E3&lt;0,(+E3/G3-1)*-1,(+E3/G3-1)))</f>
        <v>-8.8094233044328174E-2</v>
      </c>
      <c r="G3" s="296">
        <f>G216</f>
        <v>14403.439999999999</v>
      </c>
      <c r="H3" s="298">
        <f t="shared" ref="H3:H28" si="1">IF((+G3/I3)&lt;0,"n.m.",IF(G3&lt;0,(+G3/I3-1)*-1,(+G3/I3-1)))</f>
        <v>6.9323101959363642E-2</v>
      </c>
      <c r="I3" s="296">
        <v>13469.679999999998</v>
      </c>
      <c r="J3" s="297">
        <f>(I3-K3)/K3</f>
        <v>2.0224712292825735E-2</v>
      </c>
      <c r="K3" s="296">
        <v>13202.66</v>
      </c>
      <c r="L3" s="297">
        <v>-1.1332933952373831E-2</v>
      </c>
      <c r="M3" s="296">
        <v>13354</v>
      </c>
      <c r="N3" s="9"/>
      <c r="O3" s="7"/>
      <c r="P3" s="7"/>
      <c r="Q3" s="7"/>
      <c r="R3" s="7"/>
      <c r="S3" s="7"/>
      <c r="T3" s="7"/>
    </row>
    <row r="4" spans="1:20" s="3" customFormat="1">
      <c r="A4" s="295" t="s">
        <v>6</v>
      </c>
      <c r="B4" s="299">
        <v>2124.0100000000002</v>
      </c>
      <c r="C4" s="297">
        <f t="shared" ref="C4:C31" si="2">IF((+B4/D4)&lt;0,"n.m.",IF(B4&lt;0,(+B4/D4-1)*-1,(+B4/D4-1)))</f>
        <v>-7.0031467289911831E-2</v>
      </c>
      <c r="D4" s="299">
        <v>2283.9589999999998</v>
      </c>
      <c r="E4" s="299">
        <v>13123.48</v>
      </c>
      <c r="F4" s="298">
        <f t="shared" si="0"/>
        <v>5.1925615555970417E-2</v>
      </c>
      <c r="G4" s="299">
        <v>12475.673000000001</v>
      </c>
      <c r="H4" s="298">
        <f t="shared" si="1"/>
        <v>6.5773761690191002E-3</v>
      </c>
      <c r="I4" s="299">
        <v>12394.152</v>
      </c>
      <c r="J4" s="297">
        <f>(I4-K4)/K4</f>
        <v>-4.5372443057903999E-2</v>
      </c>
      <c r="K4" s="299">
        <v>12983.233</v>
      </c>
      <c r="L4" s="297">
        <v>-5.3272673285982494E-2</v>
      </c>
      <c r="M4" s="299">
        <v>13713.804</v>
      </c>
      <c r="N4" s="7"/>
      <c r="O4" s="7"/>
      <c r="P4" s="7"/>
      <c r="Q4" s="7"/>
      <c r="R4" s="7"/>
      <c r="S4" s="7"/>
      <c r="T4" s="7"/>
    </row>
    <row r="5" spans="1:20">
      <c r="A5" s="300" t="s">
        <v>7</v>
      </c>
      <c r="B5" s="301">
        <v>23.16</v>
      </c>
      <c r="C5" s="302" t="str">
        <f t="shared" si="2"/>
        <v>n.m.</v>
      </c>
      <c r="D5" s="301">
        <v>-29.471</v>
      </c>
      <c r="E5" s="301">
        <v>-26.19</v>
      </c>
      <c r="F5" s="303">
        <f t="shared" si="0"/>
        <v>0.23932616903862902</v>
      </c>
      <c r="G5" s="301">
        <v>-34.43</v>
      </c>
      <c r="H5" s="303" t="str">
        <f t="shared" si="1"/>
        <v>n.m.</v>
      </c>
      <c r="I5" s="301">
        <v>40.090000000000003</v>
      </c>
      <c r="J5" s="302">
        <f t="shared" ref="J5:J33" si="3">(I5-K5)/K5</f>
        <v>-0.2043740573152337</v>
      </c>
      <c r="K5" s="301">
        <v>50.387999999999998</v>
      </c>
      <c r="L5" s="302">
        <f t="shared" ref="L5:L33" si="4">(K5-M5)/M5</f>
        <v>-0.48248343860730242</v>
      </c>
      <c r="M5" s="301">
        <v>97.364999999999995</v>
      </c>
    </row>
    <row r="6" spans="1:20">
      <c r="A6" s="300" t="s">
        <v>8</v>
      </c>
      <c r="B6" s="301">
        <v>1.59</v>
      </c>
      <c r="C6" s="302">
        <f t="shared" si="2"/>
        <v>-0.17914300464636035</v>
      </c>
      <c r="D6" s="301">
        <v>1.9370000000000001</v>
      </c>
      <c r="E6" s="301">
        <v>5.76</v>
      </c>
      <c r="F6" s="304">
        <f t="shared" si="0"/>
        <v>-0.34321550741163054</v>
      </c>
      <c r="G6" s="301">
        <v>8.77</v>
      </c>
      <c r="H6" s="304">
        <f t="shared" si="1"/>
        <v>2.6694560669456062</v>
      </c>
      <c r="I6" s="301">
        <v>2.39</v>
      </c>
      <c r="J6" s="302">
        <f t="shared" si="3"/>
        <v>-0.33109431849986004</v>
      </c>
      <c r="K6" s="301">
        <v>3.573</v>
      </c>
      <c r="L6" s="302">
        <f t="shared" si="4"/>
        <v>-0.90410885376130534</v>
      </c>
      <c r="M6" s="301">
        <v>37.261000000000003</v>
      </c>
    </row>
    <row r="7" spans="1:20">
      <c r="A7" s="300" t="s">
        <v>9</v>
      </c>
      <c r="B7" s="301">
        <v>51.3</v>
      </c>
      <c r="C7" s="302">
        <f t="shared" si="2"/>
        <v>-4.9313393006059969E-2</v>
      </c>
      <c r="D7" s="301">
        <v>53.960999999999999</v>
      </c>
      <c r="E7" s="301">
        <v>221.46</v>
      </c>
      <c r="F7" s="304">
        <f t="shared" si="0"/>
        <v>-1.6672520335022201E-2</v>
      </c>
      <c r="G7" s="301">
        <v>225.2149</v>
      </c>
      <c r="H7" s="304">
        <f t="shared" si="1"/>
        <v>-3.0257662266084506E-2</v>
      </c>
      <c r="I7" s="301">
        <v>232.24199999999999</v>
      </c>
      <c r="J7" s="302">
        <f t="shared" si="3"/>
        <v>5.0559790106982076E-2</v>
      </c>
      <c r="K7" s="301">
        <v>221.065</v>
      </c>
      <c r="L7" s="302">
        <f t="shared" si="4"/>
        <v>-0.17310655933927821</v>
      </c>
      <c r="M7" s="301">
        <v>267.34399999999999</v>
      </c>
    </row>
    <row r="8" spans="1:20" ht="30.6">
      <c r="A8" s="300" t="s">
        <v>10</v>
      </c>
      <c r="B8" s="301">
        <v>-1437.18</v>
      </c>
      <c r="C8" s="302">
        <f t="shared" si="2"/>
        <v>6.0328876393474729E-2</v>
      </c>
      <c r="D8" s="301">
        <v>-1529.45</v>
      </c>
      <c r="E8" s="301">
        <v>-8619.0300000000007</v>
      </c>
      <c r="F8" s="304">
        <f t="shared" si="0"/>
        <v>-5.5833154687165099E-2</v>
      </c>
      <c r="G8" s="301">
        <v>-8163.25</v>
      </c>
      <c r="H8" s="304">
        <f t="shared" si="1"/>
        <v>5.0095376233340039E-3</v>
      </c>
      <c r="I8" s="301">
        <v>-8204.35</v>
      </c>
      <c r="J8" s="302">
        <f t="shared" si="3"/>
        <v>-5.2079230502336156E-2</v>
      </c>
      <c r="K8" s="301">
        <v>-8655.1010000000006</v>
      </c>
      <c r="L8" s="302">
        <f t="shared" si="4"/>
        <v>-7.1353051248267213E-2</v>
      </c>
      <c r="M8" s="301">
        <v>-9320.1200000000008</v>
      </c>
      <c r="N8" s="16"/>
    </row>
    <row r="9" spans="1:20">
      <c r="A9" s="300" t="s">
        <v>11</v>
      </c>
      <c r="B9" s="301">
        <v>-695.73</v>
      </c>
      <c r="C9" s="302">
        <f t="shared" si="2"/>
        <v>1.3701543107053404E-2</v>
      </c>
      <c r="D9" s="301">
        <v>-705.39499999999998</v>
      </c>
      <c r="E9" s="301">
        <v>-3158.25</v>
      </c>
      <c r="F9" s="304">
        <f t="shared" si="0"/>
        <v>-3.2892976818326591E-2</v>
      </c>
      <c r="G9" s="301">
        <v>-3057.674</v>
      </c>
      <c r="H9" s="304">
        <f t="shared" si="1"/>
        <v>-1.9684204348092926E-2</v>
      </c>
      <c r="I9" s="301">
        <v>-2998.6480000000001</v>
      </c>
      <c r="J9" s="302">
        <f t="shared" si="3"/>
        <v>-1.7409201262084322E-2</v>
      </c>
      <c r="K9" s="301">
        <v>-3051.777</v>
      </c>
      <c r="L9" s="302">
        <f t="shared" si="4"/>
        <v>1.5748919939023987E-2</v>
      </c>
      <c r="M9" s="301">
        <v>-3004.46</v>
      </c>
      <c r="O9" s="255"/>
    </row>
    <row r="10" spans="1:20">
      <c r="A10" s="300" t="s">
        <v>12</v>
      </c>
      <c r="B10" s="301">
        <v>-140.44</v>
      </c>
      <c r="C10" s="302">
        <f t="shared" si="2"/>
        <v>3.6544622582614705E-2</v>
      </c>
      <c r="D10" s="301">
        <v>-145.767</v>
      </c>
      <c r="E10" s="301">
        <v>-826.9</v>
      </c>
      <c r="F10" s="304">
        <f t="shared" si="0"/>
        <v>-4.4906067127222116E-2</v>
      </c>
      <c r="G10" s="301">
        <v>-791.36300000000006</v>
      </c>
      <c r="H10" s="304">
        <f t="shared" si="1"/>
        <v>-1.5712578662364418E-2</v>
      </c>
      <c r="I10" s="301">
        <v>-779.12099999999998</v>
      </c>
      <c r="J10" s="302">
        <f t="shared" si="3"/>
        <v>-0.16952048588830457</v>
      </c>
      <c r="K10" s="301">
        <v>-938.15800000000002</v>
      </c>
      <c r="L10" s="302">
        <f t="shared" si="4"/>
        <v>-7.4713658299397023E-2</v>
      </c>
      <c r="M10" s="301">
        <v>-1013.9109999999999</v>
      </c>
    </row>
    <row r="11" spans="1:20" ht="20.399999999999999">
      <c r="A11" s="300" t="s">
        <v>13</v>
      </c>
      <c r="B11" s="301">
        <v>12.85</v>
      </c>
      <c r="C11" s="302">
        <f t="shared" si="2"/>
        <v>1.8574605292417168</v>
      </c>
      <c r="D11" s="301">
        <v>4.4969999999999999</v>
      </c>
      <c r="E11" s="301">
        <v>61.89</v>
      </c>
      <c r="F11" s="304">
        <f t="shared" si="0"/>
        <v>0.53687608641668727</v>
      </c>
      <c r="G11" s="301">
        <v>40.270000000000003</v>
      </c>
      <c r="H11" s="304">
        <f t="shared" si="1"/>
        <v>3.41799232035107</v>
      </c>
      <c r="I11" s="301">
        <v>9.1150000000000002</v>
      </c>
      <c r="J11" s="302" t="s">
        <v>14</v>
      </c>
      <c r="K11" s="301">
        <v>-9.2170000000000005</v>
      </c>
      <c r="L11" s="302">
        <f t="shared" si="4"/>
        <v>-0.7331267915568811</v>
      </c>
      <c r="M11" s="301">
        <v>-34.536999999999999</v>
      </c>
    </row>
    <row r="12" spans="1:20">
      <c r="A12" s="300" t="s">
        <v>15</v>
      </c>
      <c r="B12" s="301">
        <v>2.73</v>
      </c>
      <c r="C12" s="302" t="str">
        <f t="shared" si="2"/>
        <v>n.m.</v>
      </c>
      <c r="D12" s="301">
        <v>-0.36</v>
      </c>
      <c r="E12" s="301">
        <v>33.880000000000003</v>
      </c>
      <c r="F12" s="303">
        <f t="shared" si="0"/>
        <v>1.0249835634451019</v>
      </c>
      <c r="G12" s="301">
        <v>16.731000000000002</v>
      </c>
      <c r="H12" s="303" t="str">
        <f t="shared" si="1"/>
        <v>n.m.</v>
      </c>
      <c r="I12" s="301">
        <v>-0.95899999999999996</v>
      </c>
      <c r="J12" s="302" t="s">
        <v>14</v>
      </c>
      <c r="K12" s="301">
        <v>4.3479999999999999</v>
      </c>
      <c r="L12" s="302">
        <f t="shared" si="4"/>
        <v>0.21283124128312411</v>
      </c>
      <c r="M12" s="301">
        <v>3.585</v>
      </c>
    </row>
    <row r="13" spans="1:20" s="3" customFormat="1">
      <c r="A13" s="295" t="s">
        <v>148</v>
      </c>
      <c r="B13" s="296">
        <f>SUM(B4:B12)</f>
        <v>-57.709999999999681</v>
      </c>
      <c r="C13" s="297">
        <f t="shared" si="2"/>
        <v>0.12678357971827026</v>
      </c>
      <c r="D13" s="296">
        <f>SUM(D4:D12)</f>
        <v>-66.08900000000051</v>
      </c>
      <c r="E13" s="296">
        <f>SUM(E4:E12)</f>
        <v>816.09999999999775</v>
      </c>
      <c r="F13" s="298">
        <f t="shared" si="0"/>
        <v>0.13356369451478778</v>
      </c>
      <c r="G13" s="296">
        <f>SUM(G4:G12)</f>
        <v>719.94190000000162</v>
      </c>
      <c r="H13" s="298">
        <f t="shared" si="1"/>
        <v>3.6014332688172779E-2</v>
      </c>
      <c r="I13" s="296">
        <v>694.91499999999996</v>
      </c>
      <c r="J13" s="297">
        <f t="shared" si="3"/>
        <v>0.14228722092728677</v>
      </c>
      <c r="K13" s="296">
        <f>SUM(K4:K12)</f>
        <v>608.35400000000118</v>
      </c>
      <c r="L13" s="297">
        <f t="shared" si="4"/>
        <v>-0.1848737356481209</v>
      </c>
      <c r="M13" s="296">
        <v>746.33099999999865</v>
      </c>
      <c r="N13" s="7"/>
      <c r="O13" s="7"/>
      <c r="P13" s="7"/>
      <c r="Q13" s="7"/>
      <c r="R13" s="7"/>
      <c r="S13" s="7"/>
      <c r="T13" s="7"/>
    </row>
    <row r="14" spans="1:20" ht="20.399999999999999">
      <c r="A14" s="300" t="s">
        <v>16</v>
      </c>
      <c r="B14" s="301">
        <v>-87.69</v>
      </c>
      <c r="C14" s="302">
        <f t="shared" si="2"/>
        <v>5.947337373304018E-2</v>
      </c>
      <c r="D14" s="301">
        <v>-93.234999999999999</v>
      </c>
      <c r="E14" s="301">
        <v>-475.06</v>
      </c>
      <c r="F14" s="304">
        <f t="shared" si="0"/>
        <v>-8.4651494118506587E-2</v>
      </c>
      <c r="G14" s="301">
        <v>-437.98399999999998</v>
      </c>
      <c r="H14" s="304">
        <f t="shared" si="1"/>
        <v>-1.0723755414377312E-2</v>
      </c>
      <c r="I14" s="301">
        <v>-433.33699999999999</v>
      </c>
      <c r="J14" s="302">
        <f t="shared" si="3"/>
        <v>8.0188350017947552E-2</v>
      </c>
      <c r="K14" s="301">
        <v>-401.16800000000001</v>
      </c>
      <c r="L14" s="302">
        <f t="shared" si="4"/>
        <v>-2.5217108172597928E-2</v>
      </c>
      <c r="M14" s="301">
        <v>-411.54599999999999</v>
      </c>
    </row>
    <row r="15" spans="1:20" s="3" customFormat="1">
      <c r="A15" s="295" t="s">
        <v>137</v>
      </c>
      <c r="B15" s="296">
        <f>B13+B14</f>
        <v>-145.39999999999969</v>
      </c>
      <c r="C15" s="297">
        <f t="shared" si="2"/>
        <v>8.739424066682222E-2</v>
      </c>
      <c r="D15" s="296">
        <f>D13+D14</f>
        <v>-159.32400000000052</v>
      </c>
      <c r="E15" s="296">
        <f>E13+E14</f>
        <v>341.03999999999775</v>
      </c>
      <c r="F15" s="298">
        <f t="shared" si="0"/>
        <v>0.20954227563758909</v>
      </c>
      <c r="G15" s="296">
        <f>G13+G14</f>
        <v>281.95790000000164</v>
      </c>
      <c r="H15" s="298">
        <f t="shared" si="1"/>
        <v>7.7890765072660129E-2</v>
      </c>
      <c r="I15" s="296">
        <v>261.58299999999997</v>
      </c>
      <c r="J15" s="297">
        <f t="shared" si="3"/>
        <v>0.26255152375159757</v>
      </c>
      <c r="K15" s="296">
        <f>K13+K14</f>
        <v>207.18600000000117</v>
      </c>
      <c r="L15" s="297">
        <f t="shared" si="4"/>
        <v>-0.38113714772166613</v>
      </c>
      <c r="M15" s="296">
        <v>334.78499999999866</v>
      </c>
      <c r="N15" s="7"/>
      <c r="O15" s="7"/>
      <c r="P15" s="7"/>
      <c r="Q15" s="7"/>
      <c r="R15" s="7"/>
      <c r="S15" s="7"/>
      <c r="T15" s="7"/>
    </row>
    <row r="16" spans="1:20">
      <c r="A16" s="300" t="s">
        <v>17</v>
      </c>
      <c r="B16" s="301">
        <v>-8.89</v>
      </c>
      <c r="C16" s="302" t="str">
        <f t="shared" si="2"/>
        <v>n.m.</v>
      </c>
      <c r="D16" s="301">
        <f>29.697-21.998</f>
        <v>7.6989999999999981</v>
      </c>
      <c r="E16" s="305">
        <f>82.07-106.49</f>
        <v>-24.42</v>
      </c>
      <c r="F16" s="304">
        <f t="shared" si="0"/>
        <v>6.7832194526090794E-2</v>
      </c>
      <c r="G16" s="301">
        <f>82.169-108.366</f>
        <v>-26.197000000000003</v>
      </c>
      <c r="H16" s="304">
        <f t="shared" si="1"/>
        <v>0.1694039315155359</v>
      </c>
      <c r="I16" s="301">
        <f>66.716-98.256</f>
        <v>-31.540000000000006</v>
      </c>
      <c r="J16" s="302">
        <f t="shared" si="3"/>
        <v>-0.37822812758743035</v>
      </c>
      <c r="K16" s="301">
        <f>73.145-123.871</f>
        <v>-50.725999999999999</v>
      </c>
      <c r="L16" s="302" t="s">
        <v>14</v>
      </c>
      <c r="M16" s="301">
        <v>8.5440000000000111</v>
      </c>
    </row>
    <row r="17" spans="1:20" s="3" customFormat="1">
      <c r="A17" s="295" t="s">
        <v>18</v>
      </c>
      <c r="B17" s="296">
        <f>B16</f>
        <v>-8.89</v>
      </c>
      <c r="C17" s="297" t="str">
        <f t="shared" si="2"/>
        <v>n.m.</v>
      </c>
      <c r="D17" s="296">
        <f>D16</f>
        <v>7.6989999999999981</v>
      </c>
      <c r="E17" s="296">
        <f>E16</f>
        <v>-24.42</v>
      </c>
      <c r="F17" s="298">
        <f t="shared" si="0"/>
        <v>6.7832194526090794E-2</v>
      </c>
      <c r="G17" s="296">
        <f>G16</f>
        <v>-26.197000000000003</v>
      </c>
      <c r="H17" s="298">
        <f t="shared" si="1"/>
        <v>0.1694039315155359</v>
      </c>
      <c r="I17" s="296">
        <f>I16</f>
        <v>-31.540000000000006</v>
      </c>
      <c r="J17" s="297">
        <f t="shared" si="3"/>
        <v>-0.37822812758743035</v>
      </c>
      <c r="K17" s="296">
        <f>K16</f>
        <v>-50.725999999999999</v>
      </c>
      <c r="L17" s="297" t="s">
        <v>14</v>
      </c>
      <c r="M17" s="296">
        <v>8.5440000000000111</v>
      </c>
      <c r="N17" s="7"/>
      <c r="O17" s="7"/>
      <c r="P17" s="7"/>
      <c r="Q17" s="7"/>
      <c r="R17" s="7"/>
      <c r="S17" s="7"/>
      <c r="T17" s="7"/>
    </row>
    <row r="18" spans="1:20" s="3" customFormat="1">
      <c r="A18" s="295" t="s">
        <v>147</v>
      </c>
      <c r="B18" s="296">
        <f>B15+B17</f>
        <v>-154.28999999999968</v>
      </c>
      <c r="C18" s="297">
        <f t="shared" si="2"/>
        <v>-1.7609814008703761E-2</v>
      </c>
      <c r="D18" s="299">
        <v>-151.62</v>
      </c>
      <c r="E18" s="296">
        <f>E15+E17</f>
        <v>316.61999999999773</v>
      </c>
      <c r="F18" s="298">
        <f t="shared" si="0"/>
        <v>0.23795310385596746</v>
      </c>
      <c r="G18" s="296">
        <f>G15+G17</f>
        <v>255.76090000000164</v>
      </c>
      <c r="H18" s="298">
        <f t="shared" si="1"/>
        <v>0.11179605552006233</v>
      </c>
      <c r="I18" s="299">
        <f>SUM(I15:I16)</f>
        <v>230.04299999999995</v>
      </c>
      <c r="J18" s="297">
        <f t="shared" si="3"/>
        <v>0.47029911798541624</v>
      </c>
      <c r="K18" s="299">
        <f>SUM(K15:K16)</f>
        <v>156.46000000000117</v>
      </c>
      <c r="L18" s="297">
        <f t="shared" si="4"/>
        <v>-0.54428551039964068</v>
      </c>
      <c r="M18" s="299">
        <v>343.3289999999987</v>
      </c>
      <c r="N18" s="7"/>
      <c r="O18" s="7"/>
      <c r="P18" s="7"/>
      <c r="Q18" s="7"/>
      <c r="R18" s="7"/>
      <c r="S18" s="7"/>
      <c r="T18" s="7"/>
    </row>
    <row r="19" spans="1:20">
      <c r="A19" s="300" t="s">
        <v>19</v>
      </c>
      <c r="B19" s="305">
        <v>24.16</v>
      </c>
      <c r="C19" s="302">
        <f t="shared" si="2"/>
        <v>-5.3779009638843522E-4</v>
      </c>
      <c r="D19" s="305">
        <v>24.172999999999998</v>
      </c>
      <c r="E19" s="305">
        <v>-134.13</v>
      </c>
      <c r="F19" s="304">
        <f t="shared" si="0"/>
        <v>-0.2389732031517009</v>
      </c>
      <c r="G19" s="305">
        <v>-108.259</v>
      </c>
      <c r="H19" s="304">
        <f t="shared" si="1"/>
        <v>-0.46736154409173447</v>
      </c>
      <c r="I19" s="305">
        <v>-73.778000000000006</v>
      </c>
      <c r="J19" s="302">
        <f t="shared" si="3"/>
        <v>0.58928956098401641</v>
      </c>
      <c r="K19" s="305">
        <v>-46.421999999999997</v>
      </c>
      <c r="L19" s="302">
        <f t="shared" si="4"/>
        <v>-0.553801939657244</v>
      </c>
      <c r="M19" s="305">
        <v>-104.039</v>
      </c>
    </row>
    <row r="20" spans="1:20" s="3" customFormat="1" ht="20.399999999999999">
      <c r="A20" s="295" t="s">
        <v>20</v>
      </c>
      <c r="B20" s="296">
        <f>B18+B19</f>
        <v>-130.12999999999968</v>
      </c>
      <c r="C20" s="297">
        <f t="shared" si="2"/>
        <v>-2.1051888235891658E-2</v>
      </c>
      <c r="D20" s="296">
        <f>D18+D19</f>
        <v>-127.447</v>
      </c>
      <c r="E20" s="296">
        <f>E18+E19</f>
        <v>182.48999999999774</v>
      </c>
      <c r="F20" s="298">
        <f t="shared" si="0"/>
        <v>0.23720440211275728</v>
      </c>
      <c r="G20" s="296">
        <f>G18+G19</f>
        <v>147.50190000000163</v>
      </c>
      <c r="H20" s="298">
        <f t="shared" si="1"/>
        <v>-5.6048252911803154E-2</v>
      </c>
      <c r="I20" s="296">
        <v>156.26</v>
      </c>
      <c r="J20" s="297">
        <f t="shared" si="3"/>
        <v>0.42005489012884933</v>
      </c>
      <c r="K20" s="296">
        <f>K18+K19</f>
        <v>110.03800000000118</v>
      </c>
      <c r="L20" s="297">
        <f t="shared" si="4"/>
        <v>-0.54014793764887059</v>
      </c>
      <c r="M20" s="296">
        <v>239.28999999999871</v>
      </c>
      <c r="N20" s="7"/>
      <c r="O20" s="7"/>
      <c r="P20" s="7"/>
      <c r="Q20" s="7"/>
      <c r="R20" s="7"/>
      <c r="S20" s="7"/>
      <c r="T20" s="7"/>
    </row>
    <row r="21" spans="1:20" ht="20.399999999999999">
      <c r="A21" s="300" t="s">
        <v>21</v>
      </c>
      <c r="B21" s="301">
        <v>-13.14</v>
      </c>
      <c r="C21" s="302">
        <f t="shared" si="2"/>
        <v>-0.19628550619082308</v>
      </c>
      <c r="D21" s="301">
        <v>-10.984</v>
      </c>
      <c r="E21" s="301">
        <v>26.2</v>
      </c>
      <c r="F21" s="304">
        <f t="shared" si="0"/>
        <v>0.34125115183782118</v>
      </c>
      <c r="G21" s="301">
        <v>19.533999999999999</v>
      </c>
      <c r="H21" s="304">
        <f t="shared" si="1"/>
        <v>-0.54253998735392617</v>
      </c>
      <c r="I21" s="301">
        <v>42.701000000000001</v>
      </c>
      <c r="J21" s="302">
        <f t="shared" si="3"/>
        <v>-0.13572975489303127</v>
      </c>
      <c r="K21" s="301">
        <v>49.406999999999996</v>
      </c>
      <c r="L21" s="302">
        <f t="shared" si="4"/>
        <v>0.11540805960040625</v>
      </c>
      <c r="M21" s="301">
        <v>44.295000000000002</v>
      </c>
      <c r="N21" s="353"/>
    </row>
    <row r="22" spans="1:20" s="3" customFormat="1">
      <c r="A22" s="295" t="s">
        <v>22</v>
      </c>
      <c r="B22" s="296">
        <f>B20-B21</f>
        <v>-116.98999999999968</v>
      </c>
      <c r="C22" s="297">
        <f t="shared" si="2"/>
        <v>-4.464669013477085E-3</v>
      </c>
      <c r="D22" s="296">
        <v>-116.47</v>
      </c>
      <c r="E22" s="296">
        <f>E20-E21</f>
        <v>156.28999999999775</v>
      </c>
      <c r="F22" s="298">
        <f t="shared" si="0"/>
        <v>0.22132190963511755</v>
      </c>
      <c r="G22" s="296">
        <f>G20-G21</f>
        <v>127.96790000000163</v>
      </c>
      <c r="H22" s="298">
        <f t="shared" si="1"/>
        <v>0.12688470310588884</v>
      </c>
      <c r="I22" s="296">
        <f>I20-I21</f>
        <v>113.559</v>
      </c>
      <c r="J22" s="297">
        <f t="shared" si="3"/>
        <v>0.87295277993102194</v>
      </c>
      <c r="K22" s="296">
        <f>K20-K21</f>
        <v>60.63100000000118</v>
      </c>
      <c r="L22" s="297">
        <f>(K22-M22)/M22</f>
        <v>-0.68906382214927786</v>
      </c>
      <c r="M22" s="296">
        <v>194.9949999999987</v>
      </c>
      <c r="N22" s="7"/>
      <c r="O22" s="7"/>
      <c r="P22" s="7"/>
      <c r="Q22" s="7"/>
      <c r="R22" s="7"/>
      <c r="S22" s="7"/>
      <c r="T22" s="7"/>
    </row>
    <row r="23" spans="1:20">
      <c r="A23" s="295"/>
      <c r="B23" s="306"/>
      <c r="C23" s="297"/>
      <c r="D23" s="306"/>
      <c r="E23" s="306"/>
      <c r="F23" s="304"/>
      <c r="G23" s="306"/>
      <c r="H23" s="304"/>
      <c r="I23" s="306"/>
      <c r="J23" s="302"/>
      <c r="K23" s="306"/>
      <c r="L23" s="297"/>
      <c r="M23" s="306"/>
    </row>
    <row r="24" spans="1:20" s="3" customFormat="1">
      <c r="A24" s="295" t="s">
        <v>148</v>
      </c>
      <c r="B24" s="296">
        <f>B13</f>
        <v>-57.709999999999681</v>
      </c>
      <c r="C24" s="297">
        <f t="shared" si="2"/>
        <v>0.12678357971827026</v>
      </c>
      <c r="D24" s="296">
        <f>D13</f>
        <v>-66.08900000000051</v>
      </c>
      <c r="E24" s="296">
        <f>E13</f>
        <v>816.09999999999775</v>
      </c>
      <c r="F24" s="298">
        <f t="shared" si="0"/>
        <v>0.13356369451478778</v>
      </c>
      <c r="G24" s="296">
        <f>G13</f>
        <v>719.94190000000162</v>
      </c>
      <c r="H24" s="298">
        <f t="shared" si="1"/>
        <v>3.6014332688172779E-2</v>
      </c>
      <c r="I24" s="296">
        <f>I13</f>
        <v>694.91499999999996</v>
      </c>
      <c r="J24" s="297">
        <f t="shared" si="3"/>
        <v>0.14228722092728677</v>
      </c>
      <c r="K24" s="296">
        <f>K13</f>
        <v>608.35400000000118</v>
      </c>
      <c r="L24" s="297">
        <f t="shared" si="4"/>
        <v>-0.1848737356481209</v>
      </c>
      <c r="M24" s="296">
        <v>746.33099999999865</v>
      </c>
      <c r="N24" s="7"/>
      <c r="O24" s="7"/>
      <c r="P24" s="7"/>
      <c r="Q24" s="7"/>
      <c r="R24" s="7"/>
      <c r="S24" s="7"/>
      <c r="T24" s="7"/>
    </row>
    <row r="25" spans="1:20" s="19" customFormat="1">
      <c r="A25" s="307" t="s">
        <v>23</v>
      </c>
      <c r="B25" s="308">
        <f>B24/B4</f>
        <v>-2.7170305224551522E-2</v>
      </c>
      <c r="C25" s="297"/>
      <c r="D25" s="308">
        <f>D24/D4</f>
        <v>-2.8936158661342221E-2</v>
      </c>
      <c r="E25" s="308">
        <f>E24/E4</f>
        <v>6.2186249378975531E-2</v>
      </c>
      <c r="F25" s="304"/>
      <c r="G25" s="308">
        <f>G24/G4</f>
        <v>5.77076603402479E-2</v>
      </c>
      <c r="H25" s="304"/>
      <c r="I25" s="308">
        <f>I24/I4</f>
        <v>5.6067974638361703E-2</v>
      </c>
      <c r="J25" s="297"/>
      <c r="K25" s="308">
        <f>K24/K4</f>
        <v>4.6856896121328269E-2</v>
      </c>
      <c r="L25" s="297"/>
      <c r="M25" s="308">
        <v>5.4421880318546091E-2</v>
      </c>
      <c r="N25" s="20"/>
      <c r="O25" s="20"/>
      <c r="P25" s="20"/>
      <c r="Q25" s="20"/>
      <c r="R25" s="20"/>
      <c r="S25" s="20"/>
      <c r="T25" s="20"/>
    </row>
    <row r="26" spans="1:20" s="3" customFormat="1">
      <c r="A26" s="295" t="s">
        <v>137</v>
      </c>
      <c r="B26" s="296">
        <f>B15</f>
        <v>-145.39999999999969</v>
      </c>
      <c r="C26" s="297">
        <f t="shared" si="2"/>
        <v>8.739424066682222E-2</v>
      </c>
      <c r="D26" s="296">
        <f>D15</f>
        <v>-159.32400000000052</v>
      </c>
      <c r="E26" s="296">
        <f>E15</f>
        <v>341.03999999999775</v>
      </c>
      <c r="F26" s="298">
        <f t="shared" si="0"/>
        <v>0.20954227563758909</v>
      </c>
      <c r="G26" s="296">
        <f>G15</f>
        <v>281.95790000000164</v>
      </c>
      <c r="H26" s="298">
        <f t="shared" si="1"/>
        <v>7.7890765072660129E-2</v>
      </c>
      <c r="I26" s="296">
        <f>I15</f>
        <v>261.58299999999997</v>
      </c>
      <c r="J26" s="297">
        <f t="shared" si="3"/>
        <v>0.26255152375159757</v>
      </c>
      <c r="K26" s="296">
        <f>K15</f>
        <v>207.18600000000117</v>
      </c>
      <c r="L26" s="297">
        <f t="shared" si="4"/>
        <v>-0.38113714772166613</v>
      </c>
      <c r="M26" s="296">
        <v>334.78499999999866</v>
      </c>
      <c r="N26" s="7"/>
      <c r="O26" s="7"/>
      <c r="P26" s="7"/>
      <c r="Q26" s="7"/>
      <c r="R26" s="7"/>
      <c r="S26" s="7"/>
      <c r="T26" s="7"/>
    </row>
    <row r="27" spans="1:20" s="3" customFormat="1">
      <c r="A27" s="307" t="s">
        <v>23</v>
      </c>
      <c r="B27" s="308">
        <f>B26/B4</f>
        <v>-6.8455421584643988E-2</v>
      </c>
      <c r="C27" s="297"/>
      <c r="D27" s="308">
        <f>D26/D4</f>
        <v>-6.9757819645624344E-2</v>
      </c>
      <c r="E27" s="308">
        <f>E26/E4</f>
        <v>2.5987009543200261E-2</v>
      </c>
      <c r="F27" s="304"/>
      <c r="G27" s="308">
        <f>G26/G4</f>
        <v>2.26006164156436E-2</v>
      </c>
      <c r="H27" s="304"/>
      <c r="I27" s="308">
        <f>I26/I4</f>
        <v>2.1105356784393153E-2</v>
      </c>
      <c r="J27" s="297"/>
      <c r="K27" s="308">
        <f>K26/K4</f>
        <v>1.5957966709832686E-2</v>
      </c>
      <c r="L27" s="297"/>
      <c r="M27" s="308">
        <v>2.4412263730763446E-2</v>
      </c>
      <c r="N27" s="7"/>
      <c r="O27" s="7"/>
      <c r="P27" s="7"/>
      <c r="Q27" s="7"/>
      <c r="R27" s="7"/>
      <c r="S27" s="7"/>
      <c r="T27" s="7"/>
    </row>
    <row r="28" spans="1:20" s="3" customFormat="1">
      <c r="A28" s="295" t="s">
        <v>24</v>
      </c>
      <c r="B28" s="309">
        <f>B22/B31*1000000</f>
        <v>-1.1402534113060399</v>
      </c>
      <c r="C28" s="297">
        <f t="shared" si="2"/>
        <v>-4.464669013477085E-3</v>
      </c>
      <c r="D28" s="309">
        <f>D22/D31*1000000</f>
        <v>-1.1351851851851853</v>
      </c>
      <c r="E28" s="296">
        <f>E22/E31*1000000</f>
        <v>1.5232943469785356</v>
      </c>
      <c r="F28" s="298">
        <f t="shared" si="0"/>
        <v>0.22132190963511733</v>
      </c>
      <c r="G28" s="296">
        <f>G22/G31*1000000</f>
        <v>1.2472504873294508</v>
      </c>
      <c r="H28" s="298">
        <f t="shared" si="1"/>
        <v>0.12816809957331521</v>
      </c>
      <c r="I28" s="309">
        <f>I22/I31*1000000</f>
        <v>1.1055537626007805</v>
      </c>
      <c r="J28" s="297">
        <f t="shared" si="3"/>
        <v>0.89786768145948936</v>
      </c>
      <c r="K28" s="309">
        <f>K22/K31*1000000</f>
        <v>0.5825241524480741</v>
      </c>
      <c r="L28" s="297">
        <f t="shared" si="4"/>
        <v>-0.66713362131404896</v>
      </c>
      <c r="M28" s="309">
        <v>1.7500240028677319</v>
      </c>
      <c r="N28" s="7"/>
      <c r="O28" s="7"/>
      <c r="P28" s="7"/>
      <c r="Q28" s="7"/>
      <c r="R28" s="7"/>
      <c r="S28" s="7"/>
      <c r="T28" s="7"/>
    </row>
    <row r="29" spans="1:20" s="19" customFormat="1" ht="20.399999999999999">
      <c r="A29" s="307" t="s">
        <v>25</v>
      </c>
      <c r="B29" s="308">
        <f>B22/B4</f>
        <v>-5.5079778343792955E-2</v>
      </c>
      <c r="C29" s="302"/>
      <c r="D29" s="308">
        <f>D22/D4</f>
        <v>-5.0994785808326684E-2</v>
      </c>
      <c r="E29" s="308">
        <f>E22/E4</f>
        <v>1.1909188721284122E-2</v>
      </c>
      <c r="F29" s="308"/>
      <c r="G29" s="308">
        <f>G22/G4</f>
        <v>1.0257394530940465E-2</v>
      </c>
      <c r="H29" s="308"/>
      <c r="I29" s="308">
        <f>I22/I4</f>
        <v>9.1623049321970552E-3</v>
      </c>
      <c r="J29" s="308"/>
      <c r="K29" s="308">
        <f>K22/K4</f>
        <v>4.6699462298798134E-3</v>
      </c>
      <c r="L29" s="308"/>
      <c r="M29" s="308">
        <v>1.4218884854997104E-2</v>
      </c>
      <c r="N29" s="20"/>
      <c r="O29" s="20"/>
      <c r="P29" s="20"/>
      <c r="Q29" s="20"/>
      <c r="R29" s="20"/>
      <c r="S29" s="20"/>
      <c r="T29" s="20"/>
    </row>
    <row r="30" spans="1:20" s="3" customFormat="1">
      <c r="A30" s="295"/>
      <c r="B30" s="310"/>
      <c r="C30" s="302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7"/>
      <c r="O30" s="7"/>
      <c r="P30" s="7"/>
      <c r="Q30" s="7"/>
      <c r="R30" s="7"/>
      <c r="S30" s="7"/>
      <c r="T30" s="7"/>
    </row>
    <row r="31" spans="1:20" ht="20.399999999999999">
      <c r="A31" s="300" t="s">
        <v>26</v>
      </c>
      <c r="B31" s="311">
        <v>102600000</v>
      </c>
      <c r="C31" s="302">
        <f t="shared" si="2"/>
        <v>0</v>
      </c>
      <c r="D31" s="311">
        <v>102600000</v>
      </c>
      <c r="E31" s="311">
        <v>102600000</v>
      </c>
      <c r="F31" s="304">
        <f t="shared" ref="F31" si="5">IF((+E31/G31)&lt;0,"n.m.",IF(E31&lt;0,(+E31/G31-1)*-1,(+E31/G31-1)))</f>
        <v>0</v>
      </c>
      <c r="G31" s="311">
        <v>102600000</v>
      </c>
      <c r="H31" s="304">
        <f t="shared" ref="H31" si="6">IF((+G31/I31)&lt;0,"n.m.",IF(G31&lt;0,(+G31/I31-1)*-1,(+G31/I31-1)))</f>
        <v>-1.1375932965234092E-3</v>
      </c>
      <c r="I31" s="311">
        <v>102716850</v>
      </c>
      <c r="J31" s="302">
        <f t="shared" si="3"/>
        <v>-1.3127839085867026E-2</v>
      </c>
      <c r="K31" s="312">
        <v>104083238</v>
      </c>
      <c r="L31" s="302">
        <f>(K31-M31)/M31</f>
        <v>-6.5882895478365885E-2</v>
      </c>
      <c r="M31" s="312">
        <v>111424186</v>
      </c>
    </row>
    <row r="32" spans="1:20" s="3" customFormat="1">
      <c r="A32" s="295"/>
      <c r="B32" s="313"/>
      <c r="C32" s="306"/>
      <c r="D32" s="313"/>
      <c r="E32" s="313"/>
      <c r="F32" s="306"/>
      <c r="G32" s="313"/>
      <c r="H32" s="306"/>
      <c r="I32" s="313"/>
      <c r="J32" s="306"/>
      <c r="K32" s="306"/>
      <c r="L32" s="297"/>
      <c r="M32" s="306"/>
      <c r="N32" s="7"/>
      <c r="O32" s="7"/>
      <c r="P32" s="7"/>
      <c r="Q32" s="7"/>
      <c r="R32" s="7"/>
      <c r="S32" s="7"/>
      <c r="T32" s="7"/>
    </row>
    <row r="33" spans="1:20">
      <c r="A33" s="300" t="s">
        <v>27</v>
      </c>
      <c r="B33" s="314" t="s">
        <v>46</v>
      </c>
      <c r="C33" s="315" t="s">
        <v>46</v>
      </c>
      <c r="D33" s="314" t="s">
        <v>46</v>
      </c>
      <c r="E33" s="314">
        <v>0.65</v>
      </c>
      <c r="F33" s="304">
        <f t="shared" ref="F33:F35" si="7">IF((+E33/G33)&lt;0,"n.m.",IF(E33&lt;0,(+E33/G33-1)*-1,(+E33/G33-1)))</f>
        <v>0.30000000000000004</v>
      </c>
      <c r="G33" s="316">
        <v>0.5</v>
      </c>
      <c r="H33" s="304">
        <f t="shared" ref="H33" si="8">IF((+G33/I33)&lt;0,"n.m.",IF(G33&lt;0,(+G33/I33-1)*-1,(+G33/I33-1)))</f>
        <v>0.11111111111111116</v>
      </c>
      <c r="I33" s="316">
        <v>0.45</v>
      </c>
      <c r="J33" s="302">
        <f t="shared" si="3"/>
        <v>1.25</v>
      </c>
      <c r="K33" s="314">
        <v>0.2</v>
      </c>
      <c r="L33" s="302">
        <f t="shared" si="4"/>
        <v>-0.66666666666666663</v>
      </c>
      <c r="M33" s="314">
        <v>0.6</v>
      </c>
    </row>
    <row r="34" spans="1:20">
      <c r="A34" s="300" t="s">
        <v>28</v>
      </c>
      <c r="B34" s="314" t="s">
        <v>46</v>
      </c>
      <c r="C34" s="315" t="s">
        <v>46</v>
      </c>
      <c r="D34" s="314" t="s">
        <v>46</v>
      </c>
      <c r="E34" s="317">
        <f>E33/E28</f>
        <v>0.42670676306866057</v>
      </c>
      <c r="F34" s="304">
        <f t="shared" si="7"/>
        <v>6.4420436368318734E-2</v>
      </c>
      <c r="G34" s="317">
        <f>G33/G28</f>
        <v>0.40088178363479698</v>
      </c>
      <c r="H34" s="318"/>
      <c r="I34" s="317">
        <f>I33/I28</f>
        <v>0.40703583599714693</v>
      </c>
      <c r="J34" s="318"/>
      <c r="K34" s="317">
        <f>K33/K28</f>
        <v>0.34333340370436899</v>
      </c>
      <c r="L34" s="302"/>
      <c r="M34" s="317">
        <v>0.34285244031898482</v>
      </c>
    </row>
    <row r="35" spans="1:20">
      <c r="A35" s="300" t="s">
        <v>29</v>
      </c>
      <c r="B35" s="319">
        <v>-2.1000000000000001E-2</v>
      </c>
      <c r="C35" s="308"/>
      <c r="D35" s="319">
        <v>-0.02</v>
      </c>
      <c r="E35" s="319">
        <v>4.1000000000000002E-2</v>
      </c>
      <c r="F35" s="304">
        <f t="shared" si="7"/>
        <v>-4.6511627906976605E-2</v>
      </c>
      <c r="G35" s="319">
        <v>4.2999999999999997E-2</v>
      </c>
      <c r="H35" s="308"/>
      <c r="I35" s="319">
        <v>4.5999999999999999E-2</v>
      </c>
      <c r="J35" s="308"/>
      <c r="K35" s="308">
        <v>0.04</v>
      </c>
      <c r="L35" s="308"/>
      <c r="M35" s="308">
        <v>6.3E-2</v>
      </c>
    </row>
    <row r="36" spans="1:20">
      <c r="A36" s="300"/>
      <c r="B36" s="320"/>
      <c r="C36" s="321"/>
      <c r="D36" s="321"/>
      <c r="E36" s="320"/>
      <c r="F36" s="321"/>
      <c r="G36" s="320"/>
      <c r="H36" s="321"/>
      <c r="I36" s="320"/>
      <c r="J36" s="321"/>
      <c r="K36" s="321"/>
      <c r="L36" s="321"/>
      <c r="M36" s="321"/>
    </row>
    <row r="37" spans="1:20" ht="31.8" customHeight="1">
      <c r="A37" s="322"/>
      <c r="B37" s="323"/>
      <c r="C37" s="324" t="s">
        <v>156</v>
      </c>
      <c r="D37" s="325"/>
      <c r="E37" s="323"/>
      <c r="F37" s="324" t="s">
        <v>154</v>
      </c>
      <c r="G37" s="338"/>
      <c r="H37" s="324" t="s">
        <v>30</v>
      </c>
      <c r="I37" s="323"/>
      <c r="J37" s="324" t="s">
        <v>31</v>
      </c>
      <c r="K37" s="323"/>
      <c r="L37" s="324" t="s">
        <v>32</v>
      </c>
      <c r="M37" s="323"/>
    </row>
    <row r="38" spans="1:20" s="3" customFormat="1">
      <c r="A38" s="326" t="s">
        <v>33</v>
      </c>
      <c r="B38" s="327">
        <f>SUM(B39:B47)</f>
        <v>4282.0200000000004</v>
      </c>
      <c r="C38" s="328">
        <f>B38/$B$71</f>
        <v>0.43245956441163258</v>
      </c>
      <c r="D38" s="329">
        <f>SUM(D39:D47)</f>
        <v>4507.91</v>
      </c>
      <c r="E38" s="327">
        <f>SUM(E39:E47)</f>
        <v>4284.0700000000006</v>
      </c>
      <c r="F38" s="328">
        <f>E38/$E$71</f>
        <v>0.39930300208689273</v>
      </c>
      <c r="G38" s="296">
        <f>SUM(G39:G47)</f>
        <v>4506.4569999999994</v>
      </c>
      <c r="H38" s="328">
        <f>G38/$G$71</f>
        <v>0.43856165973985978</v>
      </c>
      <c r="I38" s="327">
        <v>4416.29</v>
      </c>
      <c r="J38" s="328">
        <f>I38/$I$71</f>
        <v>0.41817787736205031</v>
      </c>
      <c r="K38" s="327">
        <f>SUM(K39:K47)</f>
        <v>4546.4570000000003</v>
      </c>
      <c r="L38" s="328">
        <f>K38/$K$71</f>
        <v>0.44847075107551632</v>
      </c>
      <c r="M38" s="330">
        <v>4534.3550000000005</v>
      </c>
      <c r="N38" s="7"/>
      <c r="O38" s="7"/>
      <c r="P38" s="7"/>
      <c r="Q38" s="7"/>
      <c r="R38" s="7"/>
      <c r="S38" s="7"/>
      <c r="T38" s="7"/>
    </row>
    <row r="39" spans="1:20">
      <c r="A39" s="300" t="s">
        <v>34</v>
      </c>
      <c r="B39" s="331">
        <v>509.35</v>
      </c>
      <c r="C39" s="332">
        <f t="shared" ref="C39:C71" si="9">B39/$B$71</f>
        <v>5.1441440986512217E-2</v>
      </c>
      <c r="D39" s="333">
        <v>542.654</v>
      </c>
      <c r="E39" s="331">
        <v>510.8</v>
      </c>
      <c r="F39" s="332">
        <f t="shared" ref="F39:F71" si="10">E39/$E$71</f>
        <v>4.7609860125064435E-2</v>
      </c>
      <c r="G39" s="316">
        <v>535.72500000000002</v>
      </c>
      <c r="H39" s="332">
        <f t="shared" ref="H39:H71" si="11">G39/$G$71</f>
        <v>5.2135956287641581E-2</v>
      </c>
      <c r="I39" s="331">
        <v>501.78800000000001</v>
      </c>
      <c r="J39" s="332">
        <f t="shared" ref="J39:J71" si="12">I39/$I$71</f>
        <v>4.7514234963226716E-2</v>
      </c>
      <c r="K39" s="331">
        <v>530.36099999999999</v>
      </c>
      <c r="L39" s="332">
        <f t="shared" ref="L39:L71" si="13">K39/$K$71</f>
        <v>5.2315769402671554E-2</v>
      </c>
      <c r="M39" s="333">
        <v>536.51</v>
      </c>
    </row>
    <row r="40" spans="1:20">
      <c r="A40" s="300" t="s">
        <v>35</v>
      </c>
      <c r="B40" s="331">
        <v>1863.45</v>
      </c>
      <c r="C40" s="332">
        <f t="shared" si="9"/>
        <v>0.18819780741399075</v>
      </c>
      <c r="D40" s="333">
        <v>2007.9059999999999</v>
      </c>
      <c r="E40" s="331">
        <v>1881.52</v>
      </c>
      <c r="F40" s="332">
        <f>E40/$E$71</f>
        <v>0.17536981993443859</v>
      </c>
      <c r="G40" s="316">
        <v>2015.0609999999999</v>
      </c>
      <c r="H40" s="332">
        <f t="shared" si="11"/>
        <v>0.19610272474297694</v>
      </c>
      <c r="I40" s="331">
        <v>2145.5169999999998</v>
      </c>
      <c r="J40" s="332">
        <f t="shared" si="12"/>
        <v>0.2031587021921554</v>
      </c>
      <c r="K40" s="331">
        <v>2225.5720000000001</v>
      </c>
      <c r="L40" s="332">
        <f t="shared" si="13"/>
        <v>0.21953445208271827</v>
      </c>
      <c r="M40" s="333">
        <v>2154.2379999999998</v>
      </c>
    </row>
    <row r="41" spans="1:20">
      <c r="A41" s="300" t="s">
        <v>36</v>
      </c>
      <c r="B41" s="331">
        <v>13.23</v>
      </c>
      <c r="C41" s="332">
        <f t="shared" si="9"/>
        <v>1.3361544404663919E-3</v>
      </c>
      <c r="D41" s="333">
        <v>17.832999999999998</v>
      </c>
      <c r="E41" s="331">
        <v>13.82</v>
      </c>
      <c r="F41" s="332">
        <f t="shared" si="10"/>
        <v>1.2881132868605922E-3</v>
      </c>
      <c r="G41" s="316">
        <v>33.773000000000003</v>
      </c>
      <c r="H41" s="332">
        <f t="shared" si="11"/>
        <v>3.2867378817537343E-3</v>
      </c>
      <c r="I41" s="331">
        <v>36.893999999999998</v>
      </c>
      <c r="J41" s="332">
        <f t="shared" si="12"/>
        <v>3.4934876576029842E-3</v>
      </c>
      <c r="K41" s="331">
        <v>41.667000000000002</v>
      </c>
      <c r="L41" s="332">
        <f t="shared" si="13"/>
        <v>4.1101083294230074E-3</v>
      </c>
      <c r="M41" s="333">
        <v>53.277999999999999</v>
      </c>
    </row>
    <row r="42" spans="1:20">
      <c r="A42" s="300" t="s">
        <v>37</v>
      </c>
      <c r="B42" s="331">
        <v>369.53</v>
      </c>
      <c r="C42" s="332">
        <f t="shared" si="9"/>
        <v>3.732041953027556E-2</v>
      </c>
      <c r="D42" s="333">
        <v>397.00599999999997</v>
      </c>
      <c r="E42" s="331">
        <v>373.42</v>
      </c>
      <c r="F42" s="332">
        <f t="shared" si="10"/>
        <v>3.480515655423172E-2</v>
      </c>
      <c r="G42" s="316">
        <v>401.62200000000001</v>
      </c>
      <c r="H42" s="332">
        <f t="shared" si="11"/>
        <v>3.9085252762434436E-2</v>
      </c>
      <c r="I42" s="331">
        <v>371.596</v>
      </c>
      <c r="J42" s="332">
        <f t="shared" si="12"/>
        <v>3.5186372841509148E-2</v>
      </c>
      <c r="K42" s="331">
        <v>379.12200000000001</v>
      </c>
      <c r="L42" s="332">
        <f t="shared" si="13"/>
        <v>3.7397280583375561E-2</v>
      </c>
      <c r="M42" s="333">
        <v>402.279</v>
      </c>
    </row>
    <row r="43" spans="1:20">
      <c r="A43" s="300" t="s">
        <v>38</v>
      </c>
      <c r="B43" s="331">
        <v>197.28</v>
      </c>
      <c r="C43" s="332">
        <f t="shared" si="9"/>
        <v>1.99241532891315E-2</v>
      </c>
      <c r="D43" s="333">
        <v>230.428</v>
      </c>
      <c r="E43" s="331">
        <v>201.9</v>
      </c>
      <c r="F43" s="332">
        <f t="shared" si="10"/>
        <v>1.8818384415134122E-2</v>
      </c>
      <c r="G43" s="316">
        <v>232.64400000000001</v>
      </c>
      <c r="H43" s="332">
        <f t="shared" si="11"/>
        <v>2.2640566362559313E-2</v>
      </c>
      <c r="I43" s="331">
        <v>235.4</v>
      </c>
      <c r="J43" s="332">
        <f t="shared" si="12"/>
        <v>2.2289992806411411E-2</v>
      </c>
      <c r="K43" s="331">
        <v>250.292</v>
      </c>
      <c r="L43" s="332">
        <f t="shared" si="13"/>
        <v>2.4689256101661828E-2</v>
      </c>
      <c r="M43" s="333">
        <v>249.06200000000001</v>
      </c>
    </row>
    <row r="44" spans="1:20">
      <c r="A44" s="300" t="s">
        <v>39</v>
      </c>
      <c r="B44" s="331">
        <v>694.71</v>
      </c>
      <c r="C44" s="332">
        <f t="shared" si="9"/>
        <v>7.0161742353469919E-2</v>
      </c>
      <c r="D44" s="333">
        <v>716.06</v>
      </c>
      <c r="E44" s="331">
        <v>710.25</v>
      </c>
      <c r="F44" s="332">
        <f t="shared" si="10"/>
        <v>6.6199888711485938E-2</v>
      </c>
      <c r="G44" s="316">
        <v>728.79</v>
      </c>
      <c r="H44" s="332">
        <f t="shared" si="11"/>
        <v>7.0924753526287382E-2</v>
      </c>
      <c r="I44" s="331">
        <v>780.62800000000004</v>
      </c>
      <c r="J44" s="332">
        <f t="shared" si="12"/>
        <v>7.3917555244194244E-2</v>
      </c>
      <c r="K44" s="331">
        <v>782.56700000000001</v>
      </c>
      <c r="L44" s="332">
        <f t="shared" si="13"/>
        <v>7.7193825930150353E-2</v>
      </c>
      <c r="M44" s="333">
        <v>839.33199999999999</v>
      </c>
    </row>
    <row r="45" spans="1:20">
      <c r="A45" s="300" t="s">
        <v>40</v>
      </c>
      <c r="B45" s="331">
        <v>72.91</v>
      </c>
      <c r="C45" s="332">
        <f t="shared" si="9"/>
        <v>7.3634935944372351E-3</v>
      </c>
      <c r="D45" s="333">
        <v>76.162999999999997</v>
      </c>
      <c r="E45" s="331">
        <v>75.09</v>
      </c>
      <c r="F45" s="332">
        <f t="shared" si="10"/>
        <v>6.9988731338901499E-3</v>
      </c>
      <c r="G45" s="316">
        <v>72.509</v>
      </c>
      <c r="H45" s="332">
        <f t="shared" si="11"/>
        <v>7.056467505643013E-3</v>
      </c>
      <c r="I45" s="331">
        <v>72.578000000000003</v>
      </c>
      <c r="J45" s="332">
        <f t="shared" si="12"/>
        <v>6.8724005858272191E-3</v>
      </c>
      <c r="K45" s="331">
        <v>91.426000000000002</v>
      </c>
      <c r="L45" s="332">
        <f t="shared" si="13"/>
        <v>9.0184261916103365E-3</v>
      </c>
      <c r="M45" s="333">
        <v>74.081999999999994</v>
      </c>
    </row>
    <row r="46" spans="1:20" ht="20.399999999999999">
      <c r="A46" s="300" t="s">
        <v>41</v>
      </c>
      <c r="B46" s="331">
        <v>227.86</v>
      </c>
      <c r="C46" s="332">
        <f t="shared" si="9"/>
        <v>2.3012558639808924E-2</v>
      </c>
      <c r="D46" s="333">
        <f>2.49+205.062</f>
        <v>207.55200000000002</v>
      </c>
      <c r="E46" s="331">
        <v>225.34</v>
      </c>
      <c r="F46" s="332">
        <f t="shared" si="10"/>
        <v>2.1003143853919382E-2</v>
      </c>
      <c r="G46" s="316">
        <v>208.21</v>
      </c>
      <c r="H46" s="332">
        <f t="shared" si="11"/>
        <v>2.0262686002426346E-2</v>
      </c>
      <c r="I46" s="331">
        <v>54.5</v>
      </c>
      <c r="J46" s="332">
        <f t="shared" si="12"/>
        <v>5.1605973149932956E-3</v>
      </c>
      <c r="K46" s="331">
        <f>12.009+35.824</f>
        <v>47.832999999999998</v>
      </c>
      <c r="L46" s="332">
        <f t="shared" si="13"/>
        <v>4.7183337346410996E-3</v>
      </c>
      <c r="M46" s="333">
        <v>51.85</v>
      </c>
    </row>
    <row r="47" spans="1:20">
      <c r="A47" s="300" t="s">
        <v>42</v>
      </c>
      <c r="B47" s="331">
        <v>333.7</v>
      </c>
      <c r="C47" s="332">
        <f t="shared" si="9"/>
        <v>3.370179416354005E-2</v>
      </c>
      <c r="D47" s="333">
        <v>312.30799999999999</v>
      </c>
      <c r="E47" s="331">
        <v>291.93</v>
      </c>
      <c r="F47" s="332">
        <f t="shared" si="10"/>
        <v>2.7209762071867778E-2</v>
      </c>
      <c r="G47" s="316">
        <v>278.12299999999999</v>
      </c>
      <c r="H47" s="332">
        <f t="shared" si="11"/>
        <v>2.7066514668137084E-2</v>
      </c>
      <c r="I47" s="331">
        <v>217.28800000000001</v>
      </c>
      <c r="J47" s="332">
        <f t="shared" si="12"/>
        <v>2.0574970080371804E-2</v>
      </c>
      <c r="K47" s="331">
        <v>197.61699999999999</v>
      </c>
      <c r="L47" s="332">
        <f t="shared" si="13"/>
        <v>1.9493298719264321E-2</v>
      </c>
      <c r="M47" s="333">
        <v>173.72399999999999</v>
      </c>
    </row>
    <row r="48" spans="1:20" s="3" customFormat="1">
      <c r="A48" s="295" t="s">
        <v>43</v>
      </c>
      <c r="B48" s="327">
        <f>SUM(B49:B54)</f>
        <v>5619.5300000000007</v>
      </c>
      <c r="C48" s="328">
        <f>B48/$B$71</f>
        <v>0.56754043558836753</v>
      </c>
      <c r="D48" s="329">
        <f>SUM(D49:D53)</f>
        <v>5772.9560000000001</v>
      </c>
      <c r="E48" s="327">
        <f>SUM(E49:E54)</f>
        <v>6444.8</v>
      </c>
      <c r="F48" s="328">
        <f t="shared" si="10"/>
        <v>0.60069699791310738</v>
      </c>
      <c r="G48" s="316">
        <f>SUM(G49:G54)</f>
        <v>5769.0820000000003</v>
      </c>
      <c r="H48" s="328">
        <f t="shared" si="11"/>
        <v>0.56143843757864553</v>
      </c>
      <c r="I48" s="327">
        <v>6144.5</v>
      </c>
      <c r="J48" s="328">
        <f t="shared" si="12"/>
        <v>0.58182183856837255</v>
      </c>
      <c r="K48" s="327">
        <f>SUM(K49:K53)</f>
        <v>5591.232</v>
      </c>
      <c r="L48" s="328">
        <f t="shared" si="13"/>
        <v>0.55152924892448363</v>
      </c>
      <c r="M48" s="329">
        <v>5851.6990000000005</v>
      </c>
      <c r="N48" s="7"/>
      <c r="O48" s="7"/>
      <c r="P48" s="7"/>
      <c r="Q48" s="7"/>
      <c r="R48" s="7"/>
      <c r="S48" s="7"/>
      <c r="T48" s="7"/>
    </row>
    <row r="49" spans="1:20">
      <c r="A49" s="300" t="s">
        <v>44</v>
      </c>
      <c r="B49" s="331">
        <v>843.19</v>
      </c>
      <c r="C49" s="332">
        <f t="shared" si="9"/>
        <v>8.5157374350480486E-2</v>
      </c>
      <c r="D49" s="333">
        <v>892.45699999999999</v>
      </c>
      <c r="E49" s="331">
        <v>801.7</v>
      </c>
      <c r="F49" s="332">
        <f t="shared" si="10"/>
        <v>7.4723619542412217E-2</v>
      </c>
      <c r="G49" s="316">
        <v>849.4</v>
      </c>
      <c r="H49" s="332">
        <f t="shared" si="11"/>
        <v>8.2662338458579968E-2</v>
      </c>
      <c r="I49" s="331">
        <v>1104.9780000000001</v>
      </c>
      <c r="J49" s="332">
        <f t="shared" si="12"/>
        <v>0.10463021100782867</v>
      </c>
      <c r="K49" s="331">
        <v>1031.557</v>
      </c>
      <c r="L49" s="332">
        <f t="shared" si="13"/>
        <v>0.10175465039418748</v>
      </c>
      <c r="M49" s="333">
        <v>818.39</v>
      </c>
    </row>
    <row r="50" spans="1:20">
      <c r="A50" s="300" t="s">
        <v>39</v>
      </c>
      <c r="B50" s="331">
        <v>29.4</v>
      </c>
      <c r="C50" s="332">
        <f t="shared" si="9"/>
        <v>2.9692320899253146E-3</v>
      </c>
      <c r="D50" s="333">
        <v>27.181999999999999</v>
      </c>
      <c r="E50" s="331">
        <v>28.83</v>
      </c>
      <c r="F50" s="332">
        <f t="shared" si="10"/>
        <v>2.6871422619530296E-3</v>
      </c>
      <c r="G50" s="316">
        <v>26.654</v>
      </c>
      <c r="H50" s="332">
        <f t="shared" si="11"/>
        <v>2.5939274420473165E-3</v>
      </c>
      <c r="I50" s="331">
        <v>24.643000000000001</v>
      </c>
      <c r="J50" s="332">
        <f t="shared" si="12"/>
        <v>2.3334421951078863E-3</v>
      </c>
      <c r="K50" s="331">
        <v>22.785</v>
      </c>
      <c r="L50" s="332">
        <f t="shared" si="13"/>
        <v>2.2475536584324099E-3</v>
      </c>
      <c r="M50" s="333">
        <v>160.74299999999999</v>
      </c>
    </row>
    <row r="51" spans="1:20">
      <c r="A51" s="300" t="s">
        <v>40</v>
      </c>
      <c r="B51" s="331">
        <v>2065.0300000000002</v>
      </c>
      <c r="C51" s="332">
        <f t="shared" si="9"/>
        <v>0.20855623614484606</v>
      </c>
      <c r="D51" s="333">
        <v>2377.9859999999999</v>
      </c>
      <c r="E51" s="331">
        <v>2317.88</v>
      </c>
      <c r="F51" s="332">
        <f t="shared" si="10"/>
        <v>0.21604139112506726</v>
      </c>
      <c r="G51" s="316">
        <v>2473.5590000000002</v>
      </c>
      <c r="H51" s="332">
        <f t="shared" si="11"/>
        <v>0.24072306481665487</v>
      </c>
      <c r="I51" s="331">
        <v>2697.645</v>
      </c>
      <c r="J51" s="332">
        <f t="shared" si="12"/>
        <v>0.25543962465697412</v>
      </c>
      <c r="K51" s="331">
        <v>2535.4690000000001</v>
      </c>
      <c r="L51" s="332">
        <f t="shared" si="13"/>
        <v>0.25010325331542521</v>
      </c>
      <c r="M51" s="333">
        <v>2629.7379999999998</v>
      </c>
    </row>
    <row r="52" spans="1:20" ht="20.399999999999999">
      <c r="A52" s="300" t="s">
        <v>41</v>
      </c>
      <c r="B52" s="331">
        <v>520.32000000000005</v>
      </c>
      <c r="C52" s="332">
        <f t="shared" si="9"/>
        <v>5.2549348334351702E-2</v>
      </c>
      <c r="D52" s="333">
        <f>90.675+54.473+395.77</f>
        <v>540.91800000000001</v>
      </c>
      <c r="E52" s="331">
        <v>494.06</v>
      </c>
      <c r="F52" s="332">
        <f t="shared" si="10"/>
        <v>4.6049583972962674E-2</v>
      </c>
      <c r="G52" s="316">
        <f>495.45</f>
        <v>495.45</v>
      </c>
      <c r="H52" s="332">
        <f t="shared" si="11"/>
        <v>4.8216453483992755E-2</v>
      </c>
      <c r="I52" s="331">
        <f>605.26</f>
        <v>605.26</v>
      </c>
      <c r="J52" s="332">
        <f t="shared" si="12"/>
        <v>5.7311984052712699E-2</v>
      </c>
      <c r="K52" s="331">
        <f>106.372+520.094</f>
        <v>626.46600000000001</v>
      </c>
      <c r="L52" s="332">
        <f t="shared" si="13"/>
        <v>6.1795740626882513E-2</v>
      </c>
      <c r="M52" s="333">
        <v>542.59100000000001</v>
      </c>
    </row>
    <row r="53" spans="1:20">
      <c r="A53" s="300" t="s">
        <v>45</v>
      </c>
      <c r="B53" s="331">
        <v>2091.59</v>
      </c>
      <c r="C53" s="332">
        <f t="shared" si="9"/>
        <v>0.21123864445465612</v>
      </c>
      <c r="D53" s="333">
        <v>1934.413</v>
      </c>
      <c r="E53" s="305">
        <v>2732.33</v>
      </c>
      <c r="F53" s="332">
        <f t="shared" si="10"/>
        <v>0.25467080876178017</v>
      </c>
      <c r="G53" s="316">
        <v>1924.019</v>
      </c>
      <c r="H53" s="332">
        <f t="shared" si="11"/>
        <v>0.18724265337737059</v>
      </c>
      <c r="I53" s="331">
        <v>1711.9680000000001</v>
      </c>
      <c r="J53" s="332">
        <f t="shared" si="12"/>
        <v>0.16210600851659529</v>
      </c>
      <c r="K53" s="331">
        <v>1374.9549999999999</v>
      </c>
      <c r="L53" s="332">
        <f t="shared" si="13"/>
        <v>0.13562805092955602</v>
      </c>
      <c r="M53" s="333">
        <v>1700.2370000000001</v>
      </c>
    </row>
    <row r="54" spans="1:20">
      <c r="A54" s="300" t="s">
        <v>155</v>
      </c>
      <c r="B54" s="334">
        <v>70</v>
      </c>
      <c r="C54" s="332"/>
      <c r="D54" s="335">
        <v>0</v>
      </c>
      <c r="E54" s="334">
        <v>70</v>
      </c>
      <c r="F54" s="332">
        <f t="shared" si="10"/>
        <v>6.5244522489320876E-3</v>
      </c>
      <c r="G54" s="316">
        <v>0</v>
      </c>
      <c r="H54" s="332">
        <f>G54/$G$71</f>
        <v>0</v>
      </c>
      <c r="I54" s="334">
        <v>0</v>
      </c>
      <c r="J54" s="332">
        <f>I54/$I$71</f>
        <v>0</v>
      </c>
      <c r="K54" s="334"/>
      <c r="L54" s="332">
        <f t="shared" si="13"/>
        <v>0</v>
      </c>
      <c r="M54" s="335"/>
    </row>
    <row r="55" spans="1:20" s="3" customFormat="1">
      <c r="A55" s="295" t="s">
        <v>47</v>
      </c>
      <c r="B55" s="327">
        <f>SUM(B56:B59)</f>
        <v>3184.67</v>
      </c>
      <c r="C55" s="328">
        <f t="shared" si="9"/>
        <v>0.32163348162661404</v>
      </c>
      <c r="D55" s="329">
        <f>SUM(D56:D59)</f>
        <v>3054.3360000000002</v>
      </c>
      <c r="E55" s="327">
        <f>SUM(E56:E59)</f>
        <v>3320.63</v>
      </c>
      <c r="F55" s="328">
        <f t="shared" si="10"/>
        <v>0.3095041695910194</v>
      </c>
      <c r="G55" s="296">
        <f>SUM(G56:G59)</f>
        <v>3144.3</v>
      </c>
      <c r="H55" s="328">
        <f t="shared" si="11"/>
        <v>0.30599857642490352</v>
      </c>
      <c r="I55" s="327">
        <f>3238.76</f>
        <v>3238.76</v>
      </c>
      <c r="J55" s="328">
        <f t="shared" si="12"/>
        <v>0.30667772770472823</v>
      </c>
      <c r="K55" s="327">
        <f>SUM(K56:K59)</f>
        <v>3162.5420000000004</v>
      </c>
      <c r="L55" s="328">
        <f t="shared" si="13"/>
        <v>0.31195886952144619</v>
      </c>
      <c r="M55" s="329">
        <v>3149.8420000000001</v>
      </c>
      <c r="N55" s="7"/>
      <c r="O55" s="7"/>
      <c r="P55" s="7"/>
      <c r="Q55" s="7"/>
      <c r="R55" s="7"/>
      <c r="S55" s="7"/>
      <c r="T55" s="7"/>
    </row>
    <row r="56" spans="1:20">
      <c r="A56" s="300" t="s">
        <v>48</v>
      </c>
      <c r="B56" s="331">
        <v>114</v>
      </c>
      <c r="C56" s="332">
        <f t="shared" si="9"/>
        <v>1.1513348920118568E-2</v>
      </c>
      <c r="D56" s="333">
        <v>114</v>
      </c>
      <c r="E56" s="331">
        <v>114</v>
      </c>
      <c r="F56" s="332">
        <f t="shared" si="10"/>
        <v>1.0625536519689401E-2</v>
      </c>
      <c r="G56" s="316">
        <v>114</v>
      </c>
      <c r="H56" s="332">
        <f t="shared" si="11"/>
        <v>1.1094309611817892E-2</v>
      </c>
      <c r="I56" s="331">
        <v>114</v>
      </c>
      <c r="J56" s="332">
        <f t="shared" si="12"/>
        <v>1.0794643924940105E-2</v>
      </c>
      <c r="K56" s="331">
        <v>114</v>
      </c>
      <c r="L56" s="332">
        <f t="shared" si="13"/>
        <v>1.1245166427969924E-2</v>
      </c>
      <c r="M56" s="333">
        <v>114</v>
      </c>
    </row>
    <row r="57" spans="1:20">
      <c r="A57" s="300" t="s">
        <v>49</v>
      </c>
      <c r="B57" s="331">
        <v>2311.38</v>
      </c>
      <c r="C57" s="332">
        <f t="shared" si="9"/>
        <v>0.23343617918406717</v>
      </c>
      <c r="D57" s="333">
        <v>2311.384</v>
      </c>
      <c r="E57" s="331">
        <v>2311.38</v>
      </c>
      <c r="F57" s="332">
        <f t="shared" si="10"/>
        <v>0.21543554913052357</v>
      </c>
      <c r="G57" s="316">
        <v>2311.384</v>
      </c>
      <c r="H57" s="332">
        <f t="shared" si="11"/>
        <v>0.22494043620879023</v>
      </c>
      <c r="I57" s="331">
        <v>2311.384</v>
      </c>
      <c r="J57" s="332">
        <f t="shared" si="12"/>
        <v>0.21886462503336632</v>
      </c>
      <c r="K57" s="331">
        <v>2311.384</v>
      </c>
      <c r="L57" s="332">
        <f t="shared" si="13"/>
        <v>0.22799910314865646</v>
      </c>
      <c r="M57" s="333">
        <v>2311.384</v>
      </c>
    </row>
    <row r="58" spans="1:20">
      <c r="A58" s="300" t="s">
        <v>50</v>
      </c>
      <c r="B58" s="331">
        <v>491.19</v>
      </c>
      <c r="C58" s="332">
        <f t="shared" si="9"/>
        <v>4.9607384702395084E-2</v>
      </c>
      <c r="D58" s="333">
        <v>380.827</v>
      </c>
      <c r="E58" s="331">
        <v>613.65</v>
      </c>
      <c r="F58" s="332">
        <f t="shared" si="10"/>
        <v>5.7196144607959645E-2</v>
      </c>
      <c r="G58" s="316">
        <v>459.32799999999997</v>
      </c>
      <c r="H58" s="332">
        <f t="shared" si="11"/>
        <v>4.4701114433132356E-2</v>
      </c>
      <c r="I58" s="331">
        <v>491.60399999999998</v>
      </c>
      <c r="J58" s="332">
        <f t="shared" si="12"/>
        <v>4.6549913439265393E-2</v>
      </c>
      <c r="K58" s="331">
        <v>436.13</v>
      </c>
      <c r="L58" s="332">
        <f t="shared" si="13"/>
        <v>4.3020652931846697E-2</v>
      </c>
      <c r="M58" s="333">
        <v>513.36</v>
      </c>
    </row>
    <row r="59" spans="1:20">
      <c r="A59" s="300" t="s">
        <v>51</v>
      </c>
      <c r="B59" s="331">
        <v>268.10000000000002</v>
      </c>
      <c r="C59" s="332">
        <f t="shared" si="9"/>
        <v>2.7076568820033231E-2</v>
      </c>
      <c r="D59" s="333">
        <v>248.125</v>
      </c>
      <c r="E59" s="331">
        <v>281.60000000000002</v>
      </c>
      <c r="F59" s="332">
        <f t="shared" si="10"/>
        <v>2.6246939332846799E-2</v>
      </c>
      <c r="G59" s="316">
        <v>259.58800000000002</v>
      </c>
      <c r="H59" s="332">
        <f t="shared" si="11"/>
        <v>2.5262716171163008E-2</v>
      </c>
      <c r="I59" s="331">
        <v>321.78100000000001</v>
      </c>
      <c r="J59" s="332">
        <f t="shared" si="12"/>
        <v>3.0469397515887297E-2</v>
      </c>
      <c r="K59" s="331">
        <v>301.02800000000002</v>
      </c>
      <c r="L59" s="332">
        <f t="shared" si="13"/>
        <v>2.9693947012973076E-2</v>
      </c>
      <c r="M59" s="333">
        <v>211.09800000000001</v>
      </c>
    </row>
    <row r="60" spans="1:20" s="3" customFormat="1">
      <c r="A60" s="295" t="s">
        <v>52</v>
      </c>
      <c r="B60" s="327">
        <f>SUM(B61:B65)</f>
        <v>2500.79</v>
      </c>
      <c r="C60" s="328">
        <f t="shared" si="9"/>
        <v>0.25256550742055539</v>
      </c>
      <c r="D60" s="329">
        <f>SUM(D61:D65)</f>
        <v>2606.8389999999999</v>
      </c>
      <c r="E60" s="327">
        <f>SUM(E61:E65)</f>
        <v>2519.25</v>
      </c>
      <c r="F60" s="328">
        <f t="shared" si="10"/>
        <v>0.23481037611603089</v>
      </c>
      <c r="G60" s="296">
        <f>SUM(G61:G65)</f>
        <v>2408.6949999999997</v>
      </c>
      <c r="H60" s="328">
        <f t="shared" si="11"/>
        <v>0.23441059728454117</v>
      </c>
      <c r="I60" s="327">
        <f>2465.8</f>
        <v>2465.8000000000002</v>
      </c>
      <c r="J60" s="328">
        <f t="shared" si="12"/>
        <v>0.23348625429927466</v>
      </c>
      <c r="K60" s="327">
        <f>SUM(K61:K65)</f>
        <v>2431.9159999999997</v>
      </c>
      <c r="L60" s="328">
        <f t="shared" si="13"/>
        <v>0.23988859788458688</v>
      </c>
      <c r="M60" s="329">
        <v>2358.8539999999998</v>
      </c>
      <c r="N60" s="7"/>
      <c r="O60" s="7"/>
      <c r="P60" s="7"/>
      <c r="Q60" s="7"/>
      <c r="R60" s="7"/>
      <c r="S60" s="7"/>
      <c r="T60" s="7"/>
    </row>
    <row r="61" spans="1:20">
      <c r="A61" s="300" t="s">
        <v>53</v>
      </c>
      <c r="B61" s="331">
        <v>1085.81</v>
      </c>
      <c r="C61" s="332">
        <f t="shared" si="9"/>
        <v>0.10966060869257843</v>
      </c>
      <c r="D61" s="333">
        <v>1127.556</v>
      </c>
      <c r="E61" s="331">
        <v>1093.3800000000001</v>
      </c>
      <c r="F61" s="332">
        <f t="shared" si="10"/>
        <v>0.10191007999910524</v>
      </c>
      <c r="G61" s="316">
        <v>1121.6089999999999</v>
      </c>
      <c r="H61" s="332">
        <f t="shared" si="11"/>
        <v>0.10915331148597765</v>
      </c>
      <c r="I61" s="331">
        <v>994.75</v>
      </c>
      <c r="J61" s="332">
        <f t="shared" si="12"/>
        <v>9.419273723100148E-2</v>
      </c>
      <c r="K61" s="331">
        <v>1025.8330000000001</v>
      </c>
      <c r="L61" s="332">
        <f t="shared" si="13"/>
        <v>0.10119002466933046</v>
      </c>
      <c r="M61" s="333">
        <v>923.976</v>
      </c>
    </row>
    <row r="62" spans="1:20">
      <c r="A62" s="300" t="s">
        <v>54</v>
      </c>
      <c r="B62" s="331">
        <v>1280.2</v>
      </c>
      <c r="C62" s="332">
        <f t="shared" si="9"/>
        <v>0.12929288848715606</v>
      </c>
      <c r="D62" s="333">
        <v>1370.479</v>
      </c>
      <c r="E62" s="331">
        <v>1293.75</v>
      </c>
      <c r="F62" s="332">
        <f t="shared" si="10"/>
        <v>0.12058585852936983</v>
      </c>
      <c r="G62" s="316">
        <v>1176.7239999999999</v>
      </c>
      <c r="H62" s="332">
        <f t="shared" si="11"/>
        <v>0.11451702090927014</v>
      </c>
      <c r="I62" s="331">
        <v>1353.87</v>
      </c>
      <c r="J62" s="332">
        <f t="shared" si="12"/>
        <v>0.12819775939174261</v>
      </c>
      <c r="K62" s="331">
        <v>1265.982</v>
      </c>
      <c r="L62" s="332">
        <f t="shared" si="13"/>
        <v>0.12487875688433527</v>
      </c>
      <c r="M62" s="333">
        <v>1298.653</v>
      </c>
    </row>
    <row r="63" spans="1:20">
      <c r="A63" s="300" t="s">
        <v>55</v>
      </c>
      <c r="B63" s="331">
        <v>80.91</v>
      </c>
      <c r="C63" s="332">
        <f t="shared" si="9"/>
        <v>8.1714479046209945E-3</v>
      </c>
      <c r="D63" s="333">
        <v>58.164000000000001</v>
      </c>
      <c r="E63" s="331">
        <v>78.38000000000001</v>
      </c>
      <c r="F63" s="332">
        <f t="shared" si="10"/>
        <v>7.3055223895899584E-3</v>
      </c>
      <c r="G63" s="316">
        <v>56.814999999999998</v>
      </c>
      <c r="H63" s="332">
        <f t="shared" si="11"/>
        <v>5.5291508824160829E-3</v>
      </c>
      <c r="I63" s="331">
        <v>48.533999999999999</v>
      </c>
      <c r="J63" s="332">
        <f t="shared" si="12"/>
        <v>4.5956776162547636E-3</v>
      </c>
      <c r="K63" s="331">
        <v>61.006</v>
      </c>
      <c r="L63" s="332">
        <f t="shared" si="13"/>
        <v>6.0177423079362559E-3</v>
      </c>
      <c r="M63" s="333">
        <v>60.423999999999999</v>
      </c>
    </row>
    <row r="64" spans="1:20">
      <c r="A64" s="300" t="s">
        <v>56</v>
      </c>
      <c r="B64" s="331">
        <v>14.97</v>
      </c>
      <c r="C64" s="332">
        <f t="shared" si="9"/>
        <v>1.5118845029313593E-3</v>
      </c>
      <c r="D64" s="333">
        <f>1.167+12.645</f>
        <v>13.811999999999999</v>
      </c>
      <c r="E64" s="331">
        <v>17.68</v>
      </c>
      <c r="F64" s="332">
        <f t="shared" si="10"/>
        <v>1.6478902251588472E-3</v>
      </c>
      <c r="G64" s="316">
        <f>1.16+13.07</f>
        <v>14.23</v>
      </c>
      <c r="H64" s="332">
        <f t="shared" si="11"/>
        <v>1.3848423313699001E-3</v>
      </c>
      <c r="I64" s="331">
        <f>29.27</f>
        <v>29.27</v>
      </c>
      <c r="J64" s="332">
        <f t="shared" si="12"/>
        <v>2.7715721726578671E-3</v>
      </c>
      <c r="K64" s="331">
        <f>1.328+33.33</f>
        <v>34.658000000000001</v>
      </c>
      <c r="L64" s="332">
        <f t="shared" si="13"/>
        <v>3.4187278777244004E-3</v>
      </c>
      <c r="M64" s="333">
        <v>27.400000000000002</v>
      </c>
    </row>
    <row r="65" spans="1:20">
      <c r="A65" s="300" t="s">
        <v>57</v>
      </c>
      <c r="B65" s="331">
        <v>38.9</v>
      </c>
      <c r="C65" s="332">
        <f t="shared" si="9"/>
        <v>3.928677833268529E-3</v>
      </c>
      <c r="D65" s="333">
        <v>36.828000000000003</v>
      </c>
      <c r="E65" s="331">
        <v>36.06</v>
      </c>
      <c r="F65" s="332">
        <f t="shared" si="10"/>
        <v>3.3610249728070157E-3</v>
      </c>
      <c r="G65" s="316">
        <v>39.317</v>
      </c>
      <c r="H65" s="332">
        <f t="shared" si="11"/>
        <v>3.8262716755074039E-3</v>
      </c>
      <c r="I65" s="331">
        <v>39.377000000000002</v>
      </c>
      <c r="J65" s="332">
        <f t="shared" si="12"/>
        <v>3.7286025774768993E-3</v>
      </c>
      <c r="K65" s="331">
        <v>44.436999999999998</v>
      </c>
      <c r="L65" s="332">
        <f t="shared" si="13"/>
        <v>4.3833461452605221E-3</v>
      </c>
      <c r="M65" s="333">
        <v>48.401000000000003</v>
      </c>
    </row>
    <row r="66" spans="1:20" s="3" customFormat="1">
      <c r="A66" s="295" t="s">
        <v>58</v>
      </c>
      <c r="B66" s="336">
        <f>SUM(B67:B70)</f>
        <v>4216.09</v>
      </c>
      <c r="C66" s="328">
        <f t="shared" si="9"/>
        <v>0.42580101095283068</v>
      </c>
      <c r="D66" s="330">
        <f>SUM(D67:D70)</f>
        <v>4619.6910000000007</v>
      </c>
      <c r="E66" s="336">
        <f>SUM(E67:E70)</f>
        <v>4888.99</v>
      </c>
      <c r="F66" s="328">
        <f t="shared" si="10"/>
        <v>0.45568545429294977</v>
      </c>
      <c r="G66" s="316">
        <f>SUM(G67:G70)</f>
        <v>4722.5429999999997</v>
      </c>
      <c r="H66" s="328">
        <f t="shared" si="11"/>
        <v>0.45959082629055525</v>
      </c>
      <c r="I66" s="336">
        <f>SUM(I67:I70)</f>
        <v>4856.2330000000002</v>
      </c>
      <c r="J66" s="328">
        <f t="shared" si="12"/>
        <v>0.45983601799599705</v>
      </c>
      <c r="K66" s="336">
        <f>SUM(K67:K70)</f>
        <v>4543.2309999999998</v>
      </c>
      <c r="L66" s="328">
        <f t="shared" si="13"/>
        <v>0.44815253259396687</v>
      </c>
      <c r="M66" s="330">
        <v>4877.3580000000002</v>
      </c>
      <c r="N66" s="7"/>
      <c r="O66" s="7"/>
      <c r="P66" s="7"/>
      <c r="Q66" s="7"/>
      <c r="R66" s="7"/>
      <c r="S66" s="7"/>
      <c r="T66" s="7"/>
    </row>
    <row r="67" spans="1:20">
      <c r="A67" s="300" t="s">
        <v>53</v>
      </c>
      <c r="B67" s="331">
        <v>771.88</v>
      </c>
      <c r="C67" s="332">
        <f t="shared" si="9"/>
        <v>7.7955471618080002E-2</v>
      </c>
      <c r="D67" s="333">
        <v>661.07</v>
      </c>
      <c r="E67" s="331">
        <v>774.05</v>
      </c>
      <c r="F67" s="332">
        <f>E67/$E$71</f>
        <v>7.2146460904084025E-2</v>
      </c>
      <c r="G67" s="316">
        <v>667.36099999999999</v>
      </c>
      <c r="H67" s="332">
        <f t="shared" si="11"/>
        <v>6.4946575060108772E-2</v>
      </c>
      <c r="I67" s="331">
        <v>695.82399999999996</v>
      </c>
      <c r="J67" s="332">
        <f t="shared" si="12"/>
        <v>6.5887476442346687E-2</v>
      </c>
      <c r="K67" s="331">
        <v>665.21</v>
      </c>
      <c r="L67" s="332">
        <f t="shared" si="13"/>
        <v>6.5617518943419953E-2</v>
      </c>
      <c r="M67" s="333">
        <v>790.976</v>
      </c>
    </row>
    <row r="68" spans="1:20">
      <c r="A68" s="300" t="s">
        <v>54</v>
      </c>
      <c r="B68" s="331">
        <v>223.67</v>
      </c>
      <c r="C68" s="332">
        <f t="shared" si="9"/>
        <v>2.2589392569850174E-2</v>
      </c>
      <c r="D68" s="333">
        <v>446.87799999999999</v>
      </c>
      <c r="E68" s="331">
        <v>285.99</v>
      </c>
      <c r="F68" s="332">
        <f t="shared" si="10"/>
        <v>2.6656115695315539E-2</v>
      </c>
      <c r="G68" s="316">
        <v>433.19799999999998</v>
      </c>
      <c r="H68" s="332">
        <f t="shared" si="11"/>
        <v>4.2158181887897252E-2</v>
      </c>
      <c r="I68" s="331">
        <v>368.83</v>
      </c>
      <c r="J68" s="332">
        <f t="shared" si="12"/>
        <v>3.4924460691540864E-2</v>
      </c>
      <c r="K68" s="331">
        <v>384.00200000000001</v>
      </c>
      <c r="L68" s="332">
        <f t="shared" si="13"/>
        <v>3.7878652619941292E-2</v>
      </c>
      <c r="M68" s="333">
        <v>433.30399999999997</v>
      </c>
    </row>
    <row r="69" spans="1:20">
      <c r="A69" s="300" t="s">
        <v>55</v>
      </c>
      <c r="B69" s="331">
        <v>2494.66</v>
      </c>
      <c r="C69" s="332">
        <f t="shared" si="9"/>
        <v>0.25194641243037708</v>
      </c>
      <c r="D69" s="333">
        <v>2747.0140000000001</v>
      </c>
      <c r="E69" s="331">
        <v>2915.9500000000003</v>
      </c>
      <c r="F69" s="332">
        <f t="shared" si="10"/>
        <v>0.27178537907533606</v>
      </c>
      <c r="G69" s="316">
        <v>2729.7539999999999</v>
      </c>
      <c r="H69" s="332">
        <f t="shared" si="11"/>
        <v>0.26565557929910821</v>
      </c>
      <c r="I69" s="331">
        <v>2936.0509999999999</v>
      </c>
      <c r="J69" s="332">
        <f t="shared" si="12"/>
        <v>0.27801425517951156</v>
      </c>
      <c r="K69" s="331">
        <v>2724.1190000000001</v>
      </c>
      <c r="L69" s="332">
        <f t="shared" si="13"/>
        <v>0.26871203091750007</v>
      </c>
      <c r="M69" s="333">
        <v>2910.1529999999998</v>
      </c>
    </row>
    <row r="70" spans="1:20">
      <c r="A70" s="300" t="s">
        <v>56</v>
      </c>
      <c r="B70" s="331">
        <v>725.88</v>
      </c>
      <c r="C70" s="332">
        <f t="shared" si="9"/>
        <v>7.3309734334523383E-2</v>
      </c>
      <c r="D70" s="333">
        <f>310.644+99.981+354.104</f>
        <v>764.72900000000004</v>
      </c>
      <c r="E70" s="331">
        <v>913</v>
      </c>
      <c r="F70" s="332">
        <f t="shared" si="10"/>
        <v>8.5097498618214223E-2</v>
      </c>
      <c r="G70" s="316">
        <f>422.419+104.04+365.771</f>
        <v>892.23</v>
      </c>
      <c r="H70" s="332">
        <f t="shared" si="11"/>
        <v>8.6830490043441039E-2</v>
      </c>
      <c r="I70" s="331">
        <f>391.6+97.281+366.647</f>
        <v>855.52800000000002</v>
      </c>
      <c r="J70" s="332">
        <f t="shared" si="12"/>
        <v>8.1009825682597875E-2</v>
      </c>
      <c r="K70" s="331">
        <v>769.9</v>
      </c>
      <c r="L70" s="332">
        <f t="shared" si="13"/>
        <v>7.5944330113105654E-2</v>
      </c>
      <c r="M70" s="333">
        <v>742.92499999999995</v>
      </c>
    </row>
    <row r="71" spans="1:20" s="3" customFormat="1">
      <c r="A71" s="295" t="s">
        <v>59</v>
      </c>
      <c r="B71" s="336">
        <f>B55+B60+B66</f>
        <v>9901.5499999999993</v>
      </c>
      <c r="C71" s="337">
        <f t="shared" si="9"/>
        <v>1</v>
      </c>
      <c r="D71" s="330">
        <f>D55+D60+D66</f>
        <v>10280.866000000002</v>
      </c>
      <c r="E71" s="336">
        <f>E55+E60+E66</f>
        <v>10728.869999999999</v>
      </c>
      <c r="F71" s="337">
        <f t="shared" si="10"/>
        <v>1</v>
      </c>
      <c r="G71" s="296">
        <f>G55+G60+G66</f>
        <v>10275.538</v>
      </c>
      <c r="H71" s="328">
        <f t="shared" si="11"/>
        <v>1</v>
      </c>
      <c r="I71" s="336">
        <f>I55+I60+I66</f>
        <v>10560.793000000001</v>
      </c>
      <c r="J71" s="328">
        <f t="shared" si="12"/>
        <v>1</v>
      </c>
      <c r="K71" s="336">
        <f>K55+K60+K66</f>
        <v>10137.689</v>
      </c>
      <c r="L71" s="328">
        <f t="shared" si="13"/>
        <v>1</v>
      </c>
      <c r="M71" s="330">
        <v>10386.054</v>
      </c>
      <c r="N71" s="7"/>
      <c r="O71" s="7"/>
      <c r="P71" s="7"/>
      <c r="Q71" s="7"/>
      <c r="R71" s="7"/>
      <c r="S71" s="7"/>
      <c r="T71" s="7"/>
    </row>
    <row r="72" spans="1:20">
      <c r="A72" s="300"/>
      <c r="B72" s="338"/>
      <c r="C72" s="339"/>
      <c r="D72" s="338"/>
      <c r="E72" s="338"/>
      <c r="F72" s="339"/>
      <c r="G72" s="338"/>
      <c r="H72" s="339"/>
      <c r="I72" s="338"/>
      <c r="J72" s="339"/>
      <c r="K72" s="320"/>
      <c r="L72" s="339"/>
      <c r="M72" s="340"/>
    </row>
    <row r="73" spans="1:20">
      <c r="A73" s="300" t="s">
        <v>60</v>
      </c>
      <c r="B73" s="333">
        <v>-535.8900000000001</v>
      </c>
      <c r="C73" s="302">
        <f>IF((+B73/D73)&lt;0,"n.m.",IF(B73&lt;0,(+B73/D73-1)*-1,(+B73/D73-1)))</f>
        <v>-8.5917308036513358</v>
      </c>
      <c r="D73" s="333">
        <v>-55.87</v>
      </c>
      <c r="E73" s="333">
        <v>-1094.48</v>
      </c>
      <c r="F73" s="302">
        <f>(E73/G73)-1</f>
        <v>3.3935610774356713</v>
      </c>
      <c r="G73" s="316">
        <v>-249.11</v>
      </c>
      <c r="H73" s="302">
        <f>(G73/I73)-1</f>
        <v>2.3786789637867898</v>
      </c>
      <c r="I73" s="333">
        <v>-73.73</v>
      </c>
      <c r="J73" s="302" t="s">
        <v>14</v>
      </c>
      <c r="K73" s="333">
        <v>154.55000000000001</v>
      </c>
      <c r="L73" s="302" t="s">
        <v>14</v>
      </c>
      <c r="M73" s="333">
        <v>-267.81</v>
      </c>
    </row>
    <row r="74" spans="1:20" s="26" customFormat="1">
      <c r="A74" s="341" t="s">
        <v>61</v>
      </c>
      <c r="B74" s="333">
        <v>32.200000000000003</v>
      </c>
      <c r="C74" s="308"/>
      <c r="D74" s="319">
        <v>0.29699999999999999</v>
      </c>
      <c r="E74" s="319">
        <v>0.31</v>
      </c>
      <c r="F74" s="308"/>
      <c r="G74" s="308">
        <v>0.30599999999999999</v>
      </c>
      <c r="H74" s="308"/>
      <c r="I74" s="319">
        <v>0.307</v>
      </c>
      <c r="J74" s="308"/>
      <c r="K74" s="319">
        <v>0.312</v>
      </c>
      <c r="L74" s="308"/>
      <c r="M74" s="319">
        <v>0.30299999999999999</v>
      </c>
      <c r="N74" s="16"/>
      <c r="O74" s="16"/>
      <c r="P74" s="16"/>
      <c r="Q74" s="16"/>
      <c r="R74" s="16"/>
      <c r="S74" s="16"/>
      <c r="T74" s="16"/>
    </row>
    <row r="75" spans="1:20" s="26" customFormat="1">
      <c r="A75" s="341" t="s">
        <v>62</v>
      </c>
      <c r="B75" s="333">
        <v>-16.8</v>
      </c>
      <c r="C75" s="343"/>
      <c r="D75" s="342">
        <v>-1.7999999999999999E-2</v>
      </c>
      <c r="E75" s="342">
        <v>-0.33</v>
      </c>
      <c r="F75" s="343"/>
      <c r="G75" s="308">
        <v>-7.9000000000000001E-2</v>
      </c>
      <c r="H75" s="343"/>
      <c r="I75" s="342">
        <v>-2.3E-2</v>
      </c>
      <c r="J75" s="343"/>
      <c r="K75" s="342">
        <v>4.9000000000000002E-2</v>
      </c>
      <c r="L75" s="343"/>
      <c r="M75" s="342">
        <v>-8.5000000000000006E-2</v>
      </c>
      <c r="N75" s="16"/>
      <c r="O75" s="16"/>
      <c r="P75" s="16"/>
      <c r="Q75" s="16"/>
      <c r="R75" s="16"/>
      <c r="S75" s="16"/>
      <c r="T75" s="16"/>
    </row>
    <row r="76" spans="1:20" s="26" customFormat="1">
      <c r="A76" s="341" t="s">
        <v>63</v>
      </c>
      <c r="B76" s="319">
        <f>(B48-B66-B53+B68)/B4</f>
        <v>-0.21868070300987266</v>
      </c>
      <c r="C76" s="308"/>
      <c r="D76" s="319">
        <f>(D48-D66-D53+D68)/D4</f>
        <v>-0.14635551688975179</v>
      </c>
      <c r="E76" s="319">
        <f>(E48-E66-E53+E68)/E4</f>
        <v>-6.785776333716359E-2</v>
      </c>
      <c r="F76" s="308"/>
      <c r="G76" s="308">
        <f>(G48-G66-G53+G68)/G4</f>
        <v>-3.5611866389893304E-2</v>
      </c>
      <c r="H76" s="308"/>
      <c r="I76" s="319">
        <f>(I48-I66-I53+I68)/I4</f>
        <v>-4.4271685549765946E-3</v>
      </c>
      <c r="J76" s="308"/>
      <c r="K76" s="319">
        <f>(K48-K66-K53+K68)/K4</f>
        <v>4.3939749059421704E-3</v>
      </c>
      <c r="L76" s="308"/>
      <c r="M76" s="319">
        <v>-2.1335582745677258E-2</v>
      </c>
      <c r="N76" s="16"/>
      <c r="O76" s="16"/>
      <c r="P76" s="16"/>
      <c r="Q76" s="16"/>
      <c r="R76" s="16"/>
      <c r="S76" s="16"/>
      <c r="T76" s="16"/>
    </row>
    <row r="77" spans="1:20" s="26" customFormat="1">
      <c r="A77" s="341"/>
      <c r="B77" s="319"/>
      <c r="C77" s="318"/>
      <c r="D77" s="338"/>
      <c r="E77" s="338"/>
      <c r="F77" s="318"/>
      <c r="G77" s="308"/>
      <c r="H77" s="318"/>
      <c r="I77" s="319"/>
      <c r="J77" s="318"/>
      <c r="K77" s="338"/>
      <c r="L77" s="318"/>
      <c r="M77" s="338"/>
      <c r="N77" s="16"/>
      <c r="O77" s="16"/>
      <c r="P77" s="16"/>
      <c r="Q77" s="16"/>
      <c r="R77" s="16"/>
      <c r="S77" s="16"/>
      <c r="T77" s="16"/>
    </row>
    <row r="78" spans="1:20">
      <c r="A78" s="300"/>
      <c r="B78" s="320"/>
      <c r="C78" s="321"/>
      <c r="D78" s="320"/>
      <c r="E78" s="320"/>
      <c r="F78" s="321"/>
      <c r="G78" s="308"/>
      <c r="H78" s="321"/>
      <c r="I78" s="320"/>
      <c r="J78" s="321"/>
      <c r="K78" s="320"/>
      <c r="L78" s="321"/>
      <c r="M78" s="320"/>
    </row>
    <row r="79" spans="1:20">
      <c r="A79" s="300" t="s">
        <v>64</v>
      </c>
      <c r="B79" s="333">
        <f>B20</f>
        <v>-130.12999999999968</v>
      </c>
      <c r="C79" s="302">
        <f t="shared" ref="C79:C119" si="14">IF((+B79/D79)&lt;0,"n.m.",IF(B79&lt;0,(+B79/D79-1)*-1,(+B79/D79-1)))</f>
        <v>-2.1027854060413409E-2</v>
      </c>
      <c r="D79" s="333">
        <v>-127.45</v>
      </c>
      <c r="E79" s="333">
        <f>E20</f>
        <v>182.48999999999774</v>
      </c>
      <c r="F79" s="304">
        <f t="shared" ref="F79:H86" si="15">IF((+E79/G79)&lt;0,"n.m.",IF(E79&lt;0,(+E79/G79-1)*-1,(+E79/G79-1)))</f>
        <v>0.23720440211275728</v>
      </c>
      <c r="G79" s="333">
        <f>G20</f>
        <v>147.50190000000163</v>
      </c>
      <c r="H79" s="304">
        <f t="shared" si="15"/>
        <v>-5.6048252911803154E-2</v>
      </c>
      <c r="I79" s="333">
        <f>I20</f>
        <v>156.26</v>
      </c>
      <c r="J79" s="302">
        <f t="shared" ref="J79:J86" si="16">(I79-K79)/K79</f>
        <v>0.42005489012884933</v>
      </c>
      <c r="K79" s="333">
        <f>K20</f>
        <v>110.03800000000118</v>
      </c>
      <c r="L79" s="302">
        <f>(K79-M79)/M79</f>
        <v>-0.54014793764887059</v>
      </c>
      <c r="M79" s="333">
        <v>239.28999999999871</v>
      </c>
    </row>
    <row r="80" spans="1:20">
      <c r="A80" s="300" t="s">
        <v>42</v>
      </c>
      <c r="B80" s="316">
        <v>-37.54</v>
      </c>
      <c r="C80" s="302">
        <f>IF((+B80/D80)&lt;0,"n.m.",IF(B80&lt;0,(+B80/D80-1)*-1,(+B80/D80-1)))</f>
        <v>-8.9473836956206254E-2</v>
      </c>
      <c r="D80" s="316">
        <v>-34.457000000000001</v>
      </c>
      <c r="E80" s="316">
        <v>-36.83</v>
      </c>
      <c r="F80" s="303" t="str">
        <f t="shared" si="15"/>
        <v>n.m.</v>
      </c>
      <c r="G80" s="316">
        <v>0.65400000000000003</v>
      </c>
      <c r="H80" s="303" t="str">
        <f t="shared" si="15"/>
        <v>n.m.</v>
      </c>
      <c r="I80" s="316">
        <v>-36.085000000000001</v>
      </c>
      <c r="J80" s="302">
        <f t="shared" si="16"/>
        <v>-0.30248965863841959</v>
      </c>
      <c r="K80" s="316">
        <v>-51.734000000000002</v>
      </c>
      <c r="L80" s="302" t="s">
        <v>14</v>
      </c>
      <c r="M80" s="316">
        <v>20.827000000000002</v>
      </c>
    </row>
    <row r="81" spans="1:20" s="27" customFormat="1" ht="20.399999999999999">
      <c r="A81" s="300" t="s">
        <v>65</v>
      </c>
      <c r="B81" s="316">
        <v>0</v>
      </c>
      <c r="C81" s="302">
        <f>IF((+B81/D81)&lt;0,"n.m.",IF(B81&lt;0,(+B81/D81-1)*-1,(+B81/D81-1)))</f>
        <v>-1</v>
      </c>
      <c r="D81" s="316">
        <v>0.122</v>
      </c>
      <c r="E81" s="316">
        <v>-4.95</v>
      </c>
      <c r="F81" s="303">
        <f t="shared" si="15"/>
        <v>-1.2167487684729066</v>
      </c>
      <c r="G81" s="316">
        <v>-2.2330000000000001</v>
      </c>
      <c r="H81" s="303" t="str">
        <f t="shared" si="15"/>
        <v>n.m.</v>
      </c>
      <c r="I81" s="316">
        <v>2E-3</v>
      </c>
      <c r="J81" s="302">
        <f t="shared" si="16"/>
        <v>-0.99978007477457653</v>
      </c>
      <c r="K81" s="316">
        <v>9.0939999999999994</v>
      </c>
      <c r="L81" s="302" t="s">
        <v>14</v>
      </c>
      <c r="M81" s="316">
        <v>-2.8250000000000002</v>
      </c>
      <c r="N81" s="15"/>
      <c r="O81" s="15"/>
      <c r="P81" s="15"/>
      <c r="Q81" s="15"/>
      <c r="R81" s="15"/>
      <c r="S81" s="15"/>
      <c r="T81" s="15"/>
    </row>
    <row r="82" spans="1:20" ht="20.399999999999999">
      <c r="A82" s="300" t="s">
        <v>66</v>
      </c>
      <c r="B82" s="316">
        <v>1.97</v>
      </c>
      <c r="C82" s="302">
        <f t="shared" si="14"/>
        <v>-0.69271564498518168</v>
      </c>
      <c r="D82" s="316">
        <v>6.4109999999999996</v>
      </c>
      <c r="E82" s="316">
        <v>32.51</v>
      </c>
      <c r="F82" s="303">
        <f t="shared" si="15"/>
        <v>-9.89717579889694E-2</v>
      </c>
      <c r="G82" s="316">
        <v>36.081000000000003</v>
      </c>
      <c r="H82" s="303">
        <f t="shared" si="15"/>
        <v>29.193305439330544</v>
      </c>
      <c r="I82" s="316">
        <v>1.1950000000000001</v>
      </c>
      <c r="J82" s="302">
        <f t="shared" si="16"/>
        <v>-0.93835439773020379</v>
      </c>
      <c r="K82" s="316">
        <v>19.385000000000002</v>
      </c>
      <c r="L82" s="302">
        <f t="shared" ref="L82:L86" si="17">(K82-M82)/M82</f>
        <v>-0.52136984271993281</v>
      </c>
      <c r="M82" s="316">
        <v>40.500999999999998</v>
      </c>
    </row>
    <row r="83" spans="1:20">
      <c r="A83" s="300" t="s">
        <v>67</v>
      </c>
      <c r="B83" s="316">
        <v>89.65</v>
      </c>
      <c r="C83" s="302">
        <f t="shared" si="14"/>
        <v>-3.8564656928983476E-2</v>
      </c>
      <c r="D83" s="316">
        <v>93.245999999999995</v>
      </c>
      <c r="E83" s="316">
        <v>505.07</v>
      </c>
      <c r="F83" s="303">
        <f t="shared" si="15"/>
        <v>0.11959123958148599</v>
      </c>
      <c r="G83" s="316">
        <v>451.12</v>
      </c>
      <c r="H83" s="303">
        <f t="shared" si="15"/>
        <v>3.3138358205635488E-3</v>
      </c>
      <c r="I83" s="316">
        <v>449.63</v>
      </c>
      <c r="J83" s="302">
        <f t="shared" si="16"/>
        <v>7.4525923359103352E-2</v>
      </c>
      <c r="K83" s="316">
        <v>418.44499999999999</v>
      </c>
      <c r="L83" s="302">
        <f t="shared" si="17"/>
        <v>-3.954121449163598E-2</v>
      </c>
      <c r="M83" s="316">
        <v>435.67200000000003</v>
      </c>
    </row>
    <row r="84" spans="1:20">
      <c r="A84" s="300" t="s">
        <v>68</v>
      </c>
      <c r="B84" s="316">
        <v>-7.66</v>
      </c>
      <c r="C84" s="302">
        <f t="shared" si="14"/>
        <v>-2.3117163856463465</v>
      </c>
      <c r="D84" s="316">
        <v>-2.3130000000000002</v>
      </c>
      <c r="E84" s="316">
        <v>12.1</v>
      </c>
      <c r="F84" s="303">
        <f t="shared" si="15"/>
        <v>-0.39076582246613967</v>
      </c>
      <c r="G84" s="316">
        <v>19.861000000000001</v>
      </c>
      <c r="H84" s="303" t="str">
        <f t="shared" si="15"/>
        <v>n.m.</v>
      </c>
      <c r="I84" s="316">
        <v>-18.899999999999999</v>
      </c>
      <c r="J84" s="302" t="s">
        <v>14</v>
      </c>
      <c r="K84" s="316">
        <v>36.944000000000003</v>
      </c>
      <c r="L84" s="302">
        <f t="shared" si="17"/>
        <v>22.104440275171985</v>
      </c>
      <c r="M84" s="316">
        <v>1.599</v>
      </c>
    </row>
    <row r="85" spans="1:20" ht="20.399999999999999">
      <c r="A85" s="300" t="s">
        <v>69</v>
      </c>
      <c r="B85" s="316">
        <v>-11.87</v>
      </c>
      <c r="C85" s="302">
        <f t="shared" si="14"/>
        <v>0.11444344971650255</v>
      </c>
      <c r="D85" s="316">
        <v>-13.404</v>
      </c>
      <c r="E85" s="316">
        <v>-32.409999999999997</v>
      </c>
      <c r="F85" s="303">
        <f t="shared" si="15"/>
        <v>1.0321240991816305E-2</v>
      </c>
      <c r="G85" s="316">
        <v>-32.747999999999998</v>
      </c>
      <c r="H85" s="303">
        <f t="shared" si="15"/>
        <v>0.16189793724727441</v>
      </c>
      <c r="I85" s="316">
        <v>-39.073999999999998</v>
      </c>
      <c r="J85" s="302">
        <f t="shared" si="16"/>
        <v>0.16433743556125036</v>
      </c>
      <c r="K85" s="316">
        <v>-33.558999999999997</v>
      </c>
      <c r="L85" s="302">
        <f t="shared" si="17"/>
        <v>8.6931174089068738E-2</v>
      </c>
      <c r="M85" s="316">
        <v>-30.875</v>
      </c>
    </row>
    <row r="86" spans="1:20" s="3" customFormat="1">
      <c r="A86" s="295" t="s">
        <v>70</v>
      </c>
      <c r="B86" s="344">
        <f>SUM(B79:B85)</f>
        <v>-95.579999999999671</v>
      </c>
      <c r="C86" s="297">
        <f t="shared" si="14"/>
        <v>-0.22790339157245199</v>
      </c>
      <c r="D86" s="344">
        <v>-77.84</v>
      </c>
      <c r="E86" s="344">
        <f>SUM(E79:E85)</f>
        <v>657.97999999999774</v>
      </c>
      <c r="F86" s="298">
        <f t="shared" si="15"/>
        <v>6.0864518001382928E-2</v>
      </c>
      <c r="G86" s="344">
        <v>620.23</v>
      </c>
      <c r="H86" s="298">
        <f t="shared" si="15"/>
        <v>0.20895935504494889</v>
      </c>
      <c r="I86" s="344">
        <f>SUM(I79:I85)</f>
        <v>513.02800000000002</v>
      </c>
      <c r="J86" s="297">
        <f t="shared" si="16"/>
        <v>8.6804702199881172E-3</v>
      </c>
      <c r="K86" s="344">
        <f>SUM(K79:K85)</f>
        <v>508.61300000000119</v>
      </c>
      <c r="L86" s="297">
        <f t="shared" si="17"/>
        <v>-0.27773225653907962</v>
      </c>
      <c r="M86" s="344">
        <v>704.18899999999883</v>
      </c>
      <c r="N86" s="7"/>
      <c r="O86" s="7"/>
      <c r="P86" s="7"/>
      <c r="Q86" s="7"/>
      <c r="R86" s="7"/>
      <c r="S86" s="7"/>
      <c r="T86" s="7"/>
    </row>
    <row r="87" spans="1:20" s="3" customFormat="1">
      <c r="A87" s="295" t="s">
        <v>71</v>
      </c>
      <c r="B87" s="313"/>
      <c r="C87" s="302"/>
      <c r="D87" s="313"/>
      <c r="E87" s="313"/>
      <c r="F87" s="302"/>
      <c r="G87" s="313"/>
      <c r="H87" s="302"/>
      <c r="I87" s="313"/>
      <c r="J87" s="302"/>
      <c r="K87" s="313"/>
      <c r="L87" s="302"/>
      <c r="M87" s="313"/>
      <c r="N87" s="7"/>
      <c r="O87" s="7"/>
      <c r="P87" s="7"/>
      <c r="Q87" s="7"/>
      <c r="R87" s="7"/>
      <c r="S87" s="7"/>
      <c r="T87" s="7"/>
    </row>
    <row r="88" spans="1:20">
      <c r="A88" s="300" t="s">
        <v>72</v>
      </c>
      <c r="B88" s="333">
        <v>-40.1</v>
      </c>
      <c r="C88" s="302">
        <f t="shared" si="14"/>
        <v>-0.113115891741846</v>
      </c>
      <c r="D88" s="333">
        <v>-36.024999999999999</v>
      </c>
      <c r="E88" s="333">
        <v>9.48</v>
      </c>
      <c r="F88" s="303">
        <f t="shared" ref="F88:H103" si="18">IF((+E88/G88)&lt;0,"n.m.",IF(E88&lt;0,(+E88/G88-1)*-1,(+E88/G88-1)))</f>
        <v>-0.88094490562246475</v>
      </c>
      <c r="G88" s="333">
        <v>79.626999999999995</v>
      </c>
      <c r="H88" s="303" t="str">
        <f t="shared" si="18"/>
        <v>n.m.</v>
      </c>
      <c r="I88" s="333">
        <v>-83.442999999999998</v>
      </c>
      <c r="J88" s="302">
        <f t="shared" ref="J88:J93" si="19">(I88-K88)/K88</f>
        <v>-0.2024030281595901</v>
      </c>
      <c r="K88" s="333">
        <v>-104.61799999999999</v>
      </c>
      <c r="L88" s="302">
        <f t="shared" ref="L88:L94" si="20">(K88-M88)/M88</f>
        <v>0.56060086221042094</v>
      </c>
      <c r="M88" s="333">
        <v>-67.037000000000006</v>
      </c>
    </row>
    <row r="89" spans="1:20" ht="20.399999999999999">
      <c r="A89" s="300" t="s">
        <v>73</v>
      </c>
      <c r="B89" s="333">
        <v>260.41000000000003</v>
      </c>
      <c r="C89" s="302">
        <f t="shared" si="14"/>
        <v>1.1178087539239767</v>
      </c>
      <c r="D89" s="333">
        <v>122.962</v>
      </c>
      <c r="E89" s="316">
        <v>192.81</v>
      </c>
      <c r="F89" s="303">
        <f t="shared" si="18"/>
        <v>-0.22196620893643293</v>
      </c>
      <c r="G89" s="333">
        <v>247.81700000000001</v>
      </c>
      <c r="H89" s="303" t="str">
        <f t="shared" si="18"/>
        <v>n.m.</v>
      </c>
      <c r="I89" s="333">
        <v>-69.016000000000005</v>
      </c>
      <c r="J89" s="302" t="s">
        <v>14</v>
      </c>
      <c r="K89" s="333">
        <v>303.221</v>
      </c>
      <c r="L89" s="302" t="s">
        <v>14</v>
      </c>
      <c r="M89" s="333">
        <v>-120.98399999999999</v>
      </c>
      <c r="N89" s="255"/>
    </row>
    <row r="90" spans="1:20" ht="30.6">
      <c r="A90" s="300" t="s">
        <v>74</v>
      </c>
      <c r="B90" s="333">
        <v>4.24</v>
      </c>
      <c r="C90" s="302" t="str">
        <f t="shared" si="14"/>
        <v>n.m.</v>
      </c>
      <c r="D90" s="333">
        <v>-2.9329999999999998</v>
      </c>
      <c r="E90" s="316">
        <v>-21.64</v>
      </c>
      <c r="F90" s="303" t="str">
        <f t="shared" si="18"/>
        <v>n.m.</v>
      </c>
      <c r="G90" s="333">
        <v>56.6</v>
      </c>
      <c r="H90" s="303" t="str">
        <f t="shared" si="18"/>
        <v>n.m.</v>
      </c>
      <c r="I90" s="333">
        <v>-27.484000000000002</v>
      </c>
      <c r="J90" s="302">
        <f t="shared" si="19"/>
        <v>-0.6072760527556692</v>
      </c>
      <c r="K90" s="333">
        <v>-69.983000000000004</v>
      </c>
      <c r="L90" s="302">
        <f t="shared" si="20"/>
        <v>0.25186483730747911</v>
      </c>
      <c r="M90" s="333">
        <v>-55.902999999999999</v>
      </c>
    </row>
    <row r="91" spans="1:20">
      <c r="A91" s="300" t="s">
        <v>75</v>
      </c>
      <c r="B91" s="333">
        <v>-32.18</v>
      </c>
      <c r="C91" s="302">
        <f t="shared" si="14"/>
        <v>0.20360333605563385</v>
      </c>
      <c r="D91" s="333">
        <v>-40.406999999999996</v>
      </c>
      <c r="E91" s="316">
        <v>-14.33</v>
      </c>
      <c r="F91" s="303">
        <f t="shared" si="18"/>
        <v>0.41045789278808575</v>
      </c>
      <c r="G91" s="333">
        <v>-24.306999999999999</v>
      </c>
      <c r="H91" s="303" t="str">
        <f t="shared" si="18"/>
        <v>n.m.</v>
      </c>
      <c r="I91" s="333">
        <v>29.488</v>
      </c>
      <c r="J91" s="302">
        <f t="shared" si="19"/>
        <v>0.10099690101930323</v>
      </c>
      <c r="K91" s="333">
        <v>26.783000000000001</v>
      </c>
      <c r="L91" s="302">
        <f t="shared" si="20"/>
        <v>5.0349256421811637</v>
      </c>
      <c r="M91" s="333">
        <v>4.4379999999999997</v>
      </c>
    </row>
    <row r="92" spans="1:20" ht="23.25" customHeight="1">
      <c r="A92" s="300" t="s">
        <v>76</v>
      </c>
      <c r="B92" s="333">
        <v>-418.31</v>
      </c>
      <c r="C92" s="302">
        <f t="shared" si="14"/>
        <v>-45.738547486033525</v>
      </c>
      <c r="D92" s="333">
        <v>-8.9499999999999993</v>
      </c>
      <c r="E92" s="316">
        <v>206.53</v>
      </c>
      <c r="F92" s="303" t="str">
        <f t="shared" si="18"/>
        <v>n.m.</v>
      </c>
      <c r="G92" s="333">
        <v>-167.01400000000001</v>
      </c>
      <c r="H92" s="303" t="str">
        <f t="shared" si="18"/>
        <v>n.m.</v>
      </c>
      <c r="I92" s="333">
        <v>224.124</v>
      </c>
      <c r="J92" s="302" t="s">
        <v>14</v>
      </c>
      <c r="K92" s="333">
        <v>-252.28</v>
      </c>
      <c r="L92" s="302">
        <f t="shared" si="20"/>
        <v>25.611814345991561</v>
      </c>
      <c r="M92" s="333">
        <v>-9.48</v>
      </c>
    </row>
    <row r="93" spans="1:20" ht="30.6">
      <c r="A93" s="300" t="s">
        <v>77</v>
      </c>
      <c r="B93" s="333">
        <v>-12.52</v>
      </c>
      <c r="C93" s="302">
        <f t="shared" si="14"/>
        <v>-0.39747739703091867</v>
      </c>
      <c r="D93" s="333">
        <v>-8.9589999999999996</v>
      </c>
      <c r="E93" s="316">
        <v>14.93</v>
      </c>
      <c r="F93" s="303">
        <f t="shared" si="18"/>
        <v>2.3679224001804648</v>
      </c>
      <c r="G93" s="333">
        <v>4.4329999999999998</v>
      </c>
      <c r="H93" s="303">
        <f t="shared" si="18"/>
        <v>-0.90159167092148196</v>
      </c>
      <c r="I93" s="333">
        <v>45.046999999999997</v>
      </c>
      <c r="J93" s="302">
        <f t="shared" si="19"/>
        <v>6.1333333333333329</v>
      </c>
      <c r="K93" s="333">
        <v>6.3150000000000004</v>
      </c>
      <c r="L93" s="302">
        <f t="shared" si="20"/>
        <v>-4.8085619535725044E-2</v>
      </c>
      <c r="M93" s="333">
        <v>6.6340000000000003</v>
      </c>
    </row>
    <row r="94" spans="1:20">
      <c r="A94" s="300" t="s">
        <v>78</v>
      </c>
      <c r="B94" s="333">
        <v>-176.46</v>
      </c>
      <c r="C94" s="302">
        <f t="shared" si="14"/>
        <v>-0.47762956263973666</v>
      </c>
      <c r="D94" s="333">
        <v>-119.42100000000001</v>
      </c>
      <c r="E94" s="316">
        <v>95.56</v>
      </c>
      <c r="F94" s="303">
        <f t="shared" si="18"/>
        <v>3.4650032707223621</v>
      </c>
      <c r="G94" s="333">
        <v>21.402000000000001</v>
      </c>
      <c r="H94" s="303">
        <f t="shared" si="18"/>
        <v>-0.247230136119025</v>
      </c>
      <c r="I94" s="333">
        <v>28.431000000000001</v>
      </c>
      <c r="J94" s="302" t="s">
        <v>14</v>
      </c>
      <c r="K94" s="333">
        <v>-70.12</v>
      </c>
      <c r="L94" s="302">
        <f t="shared" si="20"/>
        <v>1.4287347164975239</v>
      </c>
      <c r="M94" s="333">
        <v>-28.870999999999999</v>
      </c>
    </row>
    <row r="95" spans="1:20">
      <c r="A95" s="300" t="s">
        <v>79</v>
      </c>
      <c r="B95" s="333">
        <v>-3.06</v>
      </c>
      <c r="C95" s="302">
        <f t="shared" si="14"/>
        <v>0.76614444019870076</v>
      </c>
      <c r="D95" s="333">
        <v>-13.085000000000001</v>
      </c>
      <c r="E95" s="316">
        <v>99.03</v>
      </c>
      <c r="F95" s="303" t="str">
        <f t="shared" si="18"/>
        <v>n.m.</v>
      </c>
      <c r="G95" s="333">
        <v>-33.463999999999999</v>
      </c>
      <c r="H95" s="303" t="str">
        <f t="shared" si="18"/>
        <v>n.m.</v>
      </c>
      <c r="I95" s="333">
        <v>33.521000000000001</v>
      </c>
      <c r="J95" s="302" t="s">
        <v>14</v>
      </c>
      <c r="K95" s="333">
        <v>-79.13</v>
      </c>
      <c r="L95" s="302" t="s">
        <v>14</v>
      </c>
      <c r="M95" s="333">
        <v>68.16</v>
      </c>
    </row>
    <row r="96" spans="1:20" s="3" customFormat="1" ht="20.399999999999999">
      <c r="A96" s="295" t="s">
        <v>80</v>
      </c>
      <c r="B96" s="344">
        <f>SUM(B86:B95)</f>
        <v>-513.5599999999996</v>
      </c>
      <c r="C96" s="297">
        <f t="shared" si="14"/>
        <v>-1.7811413532042994</v>
      </c>
      <c r="D96" s="344">
        <f>SUM(D86:D95)</f>
        <v>-184.65800000000002</v>
      </c>
      <c r="E96" s="344">
        <f>SUM(E86:E95)</f>
        <v>1240.3499999999976</v>
      </c>
      <c r="F96" s="298">
        <f t="shared" si="18"/>
        <v>0.54017607688773239</v>
      </c>
      <c r="G96" s="344">
        <v>805.33</v>
      </c>
      <c r="H96" s="298">
        <f t="shared" si="18"/>
        <v>0.16092640003690373</v>
      </c>
      <c r="I96" s="344">
        <f>SUM(I86:I95)</f>
        <v>693.69600000000003</v>
      </c>
      <c r="J96" s="297">
        <f t="shared" ref="J96:J119" si="21">(I96-K96)/K96</f>
        <v>1.5807046848783917</v>
      </c>
      <c r="K96" s="344">
        <f>SUM(K86:K95)</f>
        <v>268.80100000000135</v>
      </c>
      <c r="L96" s="297">
        <f t="shared" ref="L96:L103" si="22">(K96-M96)/M96</f>
        <v>-0.46362736607694754</v>
      </c>
      <c r="M96" s="344">
        <v>501.14599999999871</v>
      </c>
      <c r="N96" s="7"/>
      <c r="O96" s="7"/>
      <c r="P96" s="7"/>
      <c r="Q96" s="7"/>
      <c r="R96" s="7"/>
      <c r="S96" s="7"/>
      <c r="T96" s="7"/>
    </row>
    <row r="97" spans="1:20">
      <c r="A97" s="300" t="s">
        <v>81</v>
      </c>
      <c r="B97" s="333">
        <v>-0.8</v>
      </c>
      <c r="C97" s="302">
        <f t="shared" si="14"/>
        <v>-0.59680638722554891</v>
      </c>
      <c r="D97" s="305">
        <v>-0.501</v>
      </c>
      <c r="E97" s="316">
        <v>-23.29</v>
      </c>
      <c r="F97" s="304">
        <f t="shared" si="18"/>
        <v>-0.1077815829528157</v>
      </c>
      <c r="G97" s="333">
        <v>-21.024000000000001</v>
      </c>
      <c r="H97" s="304">
        <f t="shared" si="18"/>
        <v>8.0877852583719378E-2</v>
      </c>
      <c r="I97" s="333">
        <v>-22.873999999999999</v>
      </c>
      <c r="J97" s="302">
        <f t="shared" si="21"/>
        <v>-0.44441475796070051</v>
      </c>
      <c r="K97" s="305">
        <v>-41.170999999999999</v>
      </c>
      <c r="L97" s="302">
        <f t="shared" si="22"/>
        <v>-0.74464746452317165</v>
      </c>
      <c r="M97" s="333">
        <v>-161.232</v>
      </c>
    </row>
    <row r="98" spans="1:20" ht="20.399999999999999">
      <c r="A98" s="300" t="s">
        <v>82</v>
      </c>
      <c r="B98" s="333">
        <v>-71.59</v>
      </c>
      <c r="C98" s="302">
        <f t="shared" si="14"/>
        <v>-7.7984068904247916E-2</v>
      </c>
      <c r="D98" s="305">
        <v>-66.411000000000001</v>
      </c>
      <c r="E98" s="316">
        <v>-395.75</v>
      </c>
      <c r="F98" s="304">
        <f t="shared" si="18"/>
        <v>-0.14217849443124853</v>
      </c>
      <c r="G98" s="333">
        <v>-346.48700000000002</v>
      </c>
      <c r="H98" s="304">
        <f t="shared" si="18"/>
        <v>0.10551914105963167</v>
      </c>
      <c r="I98" s="333">
        <v>-387.36099999999999</v>
      </c>
      <c r="J98" s="302">
        <f t="shared" si="21"/>
        <v>-0.15475590410292336</v>
      </c>
      <c r="K98" s="305">
        <v>-458.28300000000002</v>
      </c>
      <c r="L98" s="302">
        <f t="shared" si="22"/>
        <v>-3.9541024834957479E-2</v>
      </c>
      <c r="M98" s="333">
        <v>-477.15</v>
      </c>
    </row>
    <row r="99" spans="1:20" ht="20.399999999999999">
      <c r="A99" s="300" t="s">
        <v>83</v>
      </c>
      <c r="B99" s="333">
        <v>11.87</v>
      </c>
      <c r="C99" s="302">
        <f t="shared" si="14"/>
        <v>-0.11444344971650255</v>
      </c>
      <c r="D99" s="305">
        <v>13.404</v>
      </c>
      <c r="E99" s="316">
        <v>32.409999999999997</v>
      </c>
      <c r="F99" s="304">
        <f t="shared" si="18"/>
        <v>-1.0321240991816305E-2</v>
      </c>
      <c r="G99" s="333">
        <v>32.747999999999998</v>
      </c>
      <c r="H99" s="304">
        <f t="shared" si="18"/>
        <v>-0.16189793724727441</v>
      </c>
      <c r="I99" s="333">
        <v>39.073999999999998</v>
      </c>
      <c r="J99" s="302">
        <f t="shared" si="21"/>
        <v>0.16433743556125036</v>
      </c>
      <c r="K99" s="305">
        <v>33.558999999999997</v>
      </c>
      <c r="L99" s="302">
        <f t="shared" si="22"/>
        <v>8.6931174089068738E-2</v>
      </c>
      <c r="M99" s="333">
        <v>30.875</v>
      </c>
    </row>
    <row r="100" spans="1:20" ht="20.399999999999999">
      <c r="A100" s="300" t="s">
        <v>84</v>
      </c>
      <c r="B100" s="333">
        <v>8.2100000000000009</v>
      </c>
      <c r="C100" s="302">
        <f t="shared" si="14"/>
        <v>-0.31810631229235864</v>
      </c>
      <c r="D100" s="305">
        <v>12.04</v>
      </c>
      <c r="E100" s="316">
        <v>64.98</v>
      </c>
      <c r="F100" s="304">
        <f t="shared" si="18"/>
        <v>0.1328254388870489</v>
      </c>
      <c r="G100" s="333">
        <v>57.360999999999997</v>
      </c>
      <c r="H100" s="304">
        <f t="shared" si="18"/>
        <v>0.23039468039468036</v>
      </c>
      <c r="I100" s="333">
        <v>46.62</v>
      </c>
      <c r="J100" s="302">
        <f t="shared" si="21"/>
        <v>0.17454398871309074</v>
      </c>
      <c r="K100" s="305">
        <v>39.692</v>
      </c>
      <c r="L100" s="302">
        <f t="shared" si="22"/>
        <v>-0.59082099707228575</v>
      </c>
      <c r="M100" s="333">
        <v>97.004000000000005</v>
      </c>
    </row>
    <row r="101" spans="1:20" ht="20.399999999999999">
      <c r="A101" s="300" t="s">
        <v>85</v>
      </c>
      <c r="B101" s="333">
        <v>0.33</v>
      </c>
      <c r="C101" s="302">
        <f t="shared" si="14"/>
        <v>-0.91835724888668979</v>
      </c>
      <c r="D101" s="305">
        <v>4.0419999999999998</v>
      </c>
      <c r="E101" s="316">
        <v>7.54</v>
      </c>
      <c r="F101" s="303" t="str">
        <f t="shared" si="18"/>
        <v>n.m.</v>
      </c>
      <c r="G101" s="333">
        <v>-98.606999999999999</v>
      </c>
      <c r="H101" s="303" t="str">
        <f t="shared" si="18"/>
        <v>n.m.</v>
      </c>
      <c r="I101" s="333">
        <v>2.75</v>
      </c>
      <c r="J101" s="302">
        <f t="shared" si="21"/>
        <v>12.546798029556649</v>
      </c>
      <c r="K101" s="305">
        <v>0.20300000000000001</v>
      </c>
      <c r="L101" s="302">
        <f t="shared" si="22"/>
        <v>-0.97553037608486026</v>
      </c>
      <c r="M101" s="333">
        <v>8.2959999999999994</v>
      </c>
    </row>
    <row r="102" spans="1:20">
      <c r="A102" s="300" t="s">
        <v>86</v>
      </c>
      <c r="B102" s="333">
        <v>0</v>
      </c>
      <c r="C102" s="302">
        <f t="shared" si="14"/>
        <v>-1</v>
      </c>
      <c r="D102" s="305">
        <v>4.6059999999999999</v>
      </c>
      <c r="E102" s="316">
        <v>-6.1</v>
      </c>
      <c r="F102" s="304">
        <f t="shared" si="18"/>
        <v>0.89711934156378603</v>
      </c>
      <c r="G102" s="333">
        <v>-59.292000000000002</v>
      </c>
      <c r="H102" s="304">
        <f t="shared" si="18"/>
        <v>-4.5983382116891702</v>
      </c>
      <c r="I102" s="333">
        <v>-10.590999999999999</v>
      </c>
      <c r="J102" s="302">
        <f t="shared" si="21"/>
        <v>-0.50021235430135436</v>
      </c>
      <c r="K102" s="305">
        <v>-21.190999999999999</v>
      </c>
      <c r="L102" s="302">
        <f t="shared" si="22"/>
        <v>-0.81388874251286647</v>
      </c>
      <c r="M102" s="333">
        <v>-113.86199999999999</v>
      </c>
    </row>
    <row r="103" spans="1:20" s="3" customFormat="1" ht="20.399999999999999">
      <c r="A103" s="295" t="s">
        <v>87</v>
      </c>
      <c r="B103" s="344">
        <f>SUM(B97:B102)</f>
        <v>-51.980000000000004</v>
      </c>
      <c r="C103" s="297">
        <f t="shared" si="14"/>
        <v>-0.58379037172455805</v>
      </c>
      <c r="D103" s="344">
        <f>SUM(D97:D102)</f>
        <v>-32.820000000000007</v>
      </c>
      <c r="E103" s="344">
        <f>SUM(E97:E102)</f>
        <v>-320.20999999999998</v>
      </c>
      <c r="F103" s="345">
        <f t="shared" si="18"/>
        <v>0.26439406295873447</v>
      </c>
      <c r="G103" s="344">
        <f>SUM(G97:G102)</f>
        <v>-435.30100000000004</v>
      </c>
      <c r="H103" s="345">
        <f t="shared" si="18"/>
        <v>-0.30964071459946707</v>
      </c>
      <c r="I103" s="344">
        <f>SUM(I97:I102)</f>
        <v>-332.38200000000001</v>
      </c>
      <c r="J103" s="297">
        <f t="shared" si="21"/>
        <v>-0.2567336999179321</v>
      </c>
      <c r="K103" s="344">
        <f>SUM(K97:K102)</f>
        <v>-447.19099999999997</v>
      </c>
      <c r="L103" s="297">
        <f t="shared" si="22"/>
        <v>-0.27412189219064748</v>
      </c>
      <c r="M103" s="344">
        <v>-616.06899999999996</v>
      </c>
      <c r="N103" s="355"/>
      <c r="O103" s="7"/>
      <c r="P103" s="7"/>
      <c r="Q103" s="7"/>
      <c r="R103" s="7"/>
      <c r="S103" s="7"/>
      <c r="T103" s="7"/>
    </row>
    <row r="104" spans="1:20">
      <c r="A104" s="300" t="s">
        <v>88</v>
      </c>
      <c r="B104" s="333">
        <v>-75.349999999999994</v>
      </c>
      <c r="C104" s="302" t="str">
        <f t="shared" si="14"/>
        <v>n.m.</v>
      </c>
      <c r="D104" s="305">
        <v>7.2329999999999997</v>
      </c>
      <c r="E104" s="316">
        <v>-130.02000000000001</v>
      </c>
      <c r="F104" s="346">
        <f t="shared" ref="F104:H119" si="23">IF((+E104/G104)&lt;0,"n.m.",IF(E104&lt;0,(+E104/G104-1)*-1,(+E104/G104-1)))</f>
        <v>-0.40947673095060022</v>
      </c>
      <c r="G104" s="333">
        <v>-92.247</v>
      </c>
      <c r="H104" s="346">
        <f t="shared" si="23"/>
        <v>-0.97012152147448893</v>
      </c>
      <c r="I104" s="333">
        <v>-46.823</v>
      </c>
      <c r="J104" s="302">
        <f t="shared" si="21"/>
        <v>-0.80818028750629867</v>
      </c>
      <c r="K104" s="305">
        <v>-244.09899999999999</v>
      </c>
      <c r="L104" s="302" t="s">
        <v>14</v>
      </c>
      <c r="M104" s="316">
        <v>79.173000000000002</v>
      </c>
    </row>
    <row r="105" spans="1:20">
      <c r="A105" s="300" t="s">
        <v>89</v>
      </c>
      <c r="B105" s="316">
        <v>0</v>
      </c>
      <c r="C105" s="302">
        <f t="shared" si="14"/>
        <v>-1</v>
      </c>
      <c r="D105" s="314">
        <v>200</v>
      </c>
      <c r="E105" s="316">
        <v>100</v>
      </c>
      <c r="F105" s="303" t="str">
        <f t="shared" si="23"/>
        <v>n.m.</v>
      </c>
      <c r="G105" s="316">
        <v>-7.5</v>
      </c>
      <c r="H105" s="303" t="str">
        <f t="shared" si="23"/>
        <v>n.m.</v>
      </c>
      <c r="I105" s="316">
        <v>105</v>
      </c>
      <c r="J105" s="302">
        <f t="shared" si="21"/>
        <v>-0.36363636363636365</v>
      </c>
      <c r="K105" s="314">
        <f>140+25</f>
        <v>165</v>
      </c>
      <c r="L105" s="302">
        <f>(K105-M105)/M105</f>
        <v>0.65</v>
      </c>
      <c r="M105" s="316">
        <v>100</v>
      </c>
    </row>
    <row r="106" spans="1:20" ht="20.399999999999999">
      <c r="A106" s="300" t="s">
        <v>90</v>
      </c>
      <c r="B106" s="316">
        <v>-0.18</v>
      </c>
      <c r="C106" s="302">
        <f t="shared" si="14"/>
        <v>6.25E-2</v>
      </c>
      <c r="D106" s="316">
        <v>-0.192</v>
      </c>
      <c r="E106" s="316">
        <v>-0.83</v>
      </c>
      <c r="F106" s="304">
        <f t="shared" si="23"/>
        <v>0.92681421391411689</v>
      </c>
      <c r="G106" s="316">
        <v>-11.340999999999999</v>
      </c>
      <c r="H106" s="304">
        <f t="shared" si="23"/>
        <v>0.44941256432663368</v>
      </c>
      <c r="I106" s="316">
        <v>-20.597999999999999</v>
      </c>
      <c r="J106" s="302">
        <f t="shared" si="21"/>
        <v>4.6572370227959352</v>
      </c>
      <c r="K106" s="316">
        <v>-3.641</v>
      </c>
      <c r="L106" s="302">
        <f>(K106-M106)/M106</f>
        <v>-0.77455108359133129</v>
      </c>
      <c r="M106" s="333">
        <v>-16.149999999999999</v>
      </c>
    </row>
    <row r="107" spans="1:20" ht="20.399999999999999">
      <c r="A107" s="300" t="s">
        <v>85</v>
      </c>
      <c r="B107" s="333">
        <v>-3.06</v>
      </c>
      <c r="C107" s="302">
        <f t="shared" si="14"/>
        <v>-7.717948717948719</v>
      </c>
      <c r="D107" s="314">
        <v>-0.35099999999999998</v>
      </c>
      <c r="E107" s="316">
        <v>-29.92</v>
      </c>
      <c r="F107" s="303" t="str">
        <f t="shared" si="23"/>
        <v>n.m.</v>
      </c>
      <c r="G107" s="333">
        <v>23.584</v>
      </c>
      <c r="H107" s="304">
        <f t="shared" si="23"/>
        <v>9.7985347985347975</v>
      </c>
      <c r="I107" s="333">
        <v>2.1840000000000002</v>
      </c>
      <c r="J107" s="302">
        <f t="shared" si="21"/>
        <v>-0.70712082606946491</v>
      </c>
      <c r="K107" s="314">
        <v>7.4569999999999999</v>
      </c>
      <c r="L107" s="302">
        <f t="shared" ref="L107:L119" si="24">(K107-M107)/M107</f>
        <v>-0.42354669140383427</v>
      </c>
      <c r="M107" s="333">
        <v>12.936</v>
      </c>
    </row>
    <row r="108" spans="1:20" ht="20.399999999999999">
      <c r="A108" s="300" t="s">
        <v>91</v>
      </c>
      <c r="B108" s="316">
        <v>-0.03</v>
      </c>
      <c r="C108" s="317" t="s">
        <v>46</v>
      </c>
      <c r="D108" s="316">
        <v>-7.8E-2</v>
      </c>
      <c r="E108" s="316">
        <v>-0.22</v>
      </c>
      <c r="F108" s="303" t="str">
        <f t="shared" si="23"/>
        <v>n.m.</v>
      </c>
      <c r="G108" s="333">
        <v>2.7090000000000001</v>
      </c>
      <c r="H108" s="304">
        <f t="shared" si="23"/>
        <v>6.9442815249266863</v>
      </c>
      <c r="I108" s="333">
        <v>0.34100000000000003</v>
      </c>
      <c r="J108" s="302">
        <f t="shared" si="21"/>
        <v>-0.97045060658578863</v>
      </c>
      <c r="K108" s="305">
        <v>11.54</v>
      </c>
      <c r="L108" s="302" t="s">
        <v>14</v>
      </c>
      <c r="M108" s="333">
        <v>-5.4139999999999997</v>
      </c>
    </row>
    <row r="109" spans="1:20">
      <c r="A109" s="300" t="s">
        <v>92</v>
      </c>
      <c r="B109" s="316">
        <v>0</v>
      </c>
      <c r="C109" s="317" t="s">
        <v>46</v>
      </c>
      <c r="D109" s="316">
        <v>0</v>
      </c>
      <c r="E109" s="316">
        <v>0</v>
      </c>
      <c r="F109" s="304"/>
      <c r="G109" s="316">
        <v>0</v>
      </c>
      <c r="H109" s="304">
        <f t="shared" si="23"/>
        <v>-1</v>
      </c>
      <c r="I109" s="316">
        <v>-8.8629999999999995</v>
      </c>
      <c r="J109" s="302">
        <f t="shared" si="21"/>
        <v>-0.79330690298507467</v>
      </c>
      <c r="K109" s="316">
        <v>-42.88</v>
      </c>
      <c r="L109" s="302">
        <f t="shared" si="24"/>
        <v>-0.76850902102205865</v>
      </c>
      <c r="M109" s="316">
        <v>-185.23400000000001</v>
      </c>
    </row>
    <row r="110" spans="1:20" ht="20.399999999999999">
      <c r="A110" s="300" t="s">
        <v>93</v>
      </c>
      <c r="B110" s="333">
        <v>0</v>
      </c>
      <c r="C110" s="302">
        <f t="shared" si="14"/>
        <v>-1</v>
      </c>
      <c r="D110" s="316">
        <v>-2.4039999999999999</v>
      </c>
      <c r="E110" s="316">
        <v>-56.56</v>
      </c>
      <c r="F110" s="304">
        <f t="shared" si="23"/>
        <v>1.85326577358228E-2</v>
      </c>
      <c r="G110" s="333">
        <v>-57.628</v>
      </c>
      <c r="H110" s="304">
        <f t="shared" si="23"/>
        <v>-0.52741922658962603</v>
      </c>
      <c r="I110" s="333">
        <v>-37.728999999999999</v>
      </c>
      <c r="J110" s="302">
        <f t="shared" si="21"/>
        <v>-0.45822025014718759</v>
      </c>
      <c r="K110" s="305">
        <v>-69.638999999999996</v>
      </c>
      <c r="L110" s="302">
        <f t="shared" si="24"/>
        <v>3.912440127131922E-2</v>
      </c>
      <c r="M110" s="333">
        <v>-67.016999999999996</v>
      </c>
    </row>
    <row r="111" spans="1:20" s="3" customFormat="1" ht="20.399999999999999">
      <c r="A111" s="295" t="s">
        <v>94</v>
      </c>
      <c r="B111" s="344">
        <f>SUM(B104:B110)</f>
        <v>-78.62</v>
      </c>
      <c r="C111" s="297" t="str">
        <f t="shared" si="14"/>
        <v>n.m.</v>
      </c>
      <c r="D111" s="344">
        <f>SUM(D104:D110)</f>
        <v>204.208</v>
      </c>
      <c r="E111" s="344">
        <f>SUM(E104:E110)</f>
        <v>-117.55000000000001</v>
      </c>
      <c r="F111" s="298">
        <f t="shared" si="23"/>
        <v>0.17464753131494692</v>
      </c>
      <c r="G111" s="344">
        <f>-142.424</f>
        <v>-142.42400000000001</v>
      </c>
      <c r="H111" s="298">
        <f t="shared" si="23"/>
        <v>-20.951911220715168</v>
      </c>
      <c r="I111" s="344">
        <f>SUM(I104:I110)</f>
        <v>-6.4879999999999995</v>
      </c>
      <c r="J111" s="297">
        <f t="shared" si="21"/>
        <v>-0.96319115861615101</v>
      </c>
      <c r="K111" s="344">
        <f>SUM(K104:K110)</f>
        <v>-176.262</v>
      </c>
      <c r="L111" s="297">
        <f t="shared" si="24"/>
        <v>1.1572711918341374</v>
      </c>
      <c r="M111" s="344">
        <v>-81.705999999999989</v>
      </c>
      <c r="N111" s="7"/>
      <c r="O111" s="7"/>
      <c r="P111" s="7"/>
      <c r="Q111" s="7"/>
      <c r="R111" s="7"/>
      <c r="S111" s="7"/>
      <c r="T111" s="7"/>
    </row>
    <row r="112" spans="1:20" s="3" customFormat="1" ht="20.399999999999999">
      <c r="A112" s="295" t="s">
        <v>95</v>
      </c>
      <c r="B112" s="330">
        <f>B96+B103+B111</f>
        <v>-644.15999999999963</v>
      </c>
      <c r="C112" s="297">
        <f t="shared" si="14"/>
        <v>-47.542577241898954</v>
      </c>
      <c r="D112" s="330">
        <f>D96+D103+D111</f>
        <v>-13.27000000000001</v>
      </c>
      <c r="E112" s="330">
        <f>E96+E103+E111</f>
        <v>802.58999999999764</v>
      </c>
      <c r="F112" s="298">
        <f t="shared" si="23"/>
        <v>2.5262406361898804</v>
      </c>
      <c r="G112" s="330">
        <f>G96+G103+G111</f>
        <v>227.60499999999999</v>
      </c>
      <c r="H112" s="298">
        <f t="shared" si="23"/>
        <v>-0.35854475151200882</v>
      </c>
      <c r="I112" s="330">
        <f>I96+I103+I111</f>
        <v>354.82600000000002</v>
      </c>
      <c r="J112" s="297">
        <f t="shared" si="21"/>
        <v>-2.0004906217926348</v>
      </c>
      <c r="K112" s="330">
        <f>K96+K103+K111</f>
        <v>-354.65199999999862</v>
      </c>
      <c r="L112" s="297">
        <f t="shared" si="24"/>
        <v>0.80366070111731425</v>
      </c>
      <c r="M112" s="330">
        <v>-196.62900000000124</v>
      </c>
      <c r="N112" s="7"/>
      <c r="O112" s="7"/>
      <c r="P112" s="7"/>
      <c r="Q112" s="7"/>
      <c r="R112" s="7"/>
      <c r="S112" s="7"/>
      <c r="T112" s="7"/>
    </row>
    <row r="113" spans="1:20" ht="20.399999999999999">
      <c r="A113" s="300" t="s">
        <v>96</v>
      </c>
      <c r="B113" s="333">
        <f>E116</f>
        <v>2726.641999999998</v>
      </c>
      <c r="C113" s="302">
        <f t="shared" si="14"/>
        <v>0.43052566522668334</v>
      </c>
      <c r="D113" s="305">
        <f>G116</f>
        <v>1906.0420000000001</v>
      </c>
      <c r="E113" s="333">
        <f>G116</f>
        <v>1906.0420000000001</v>
      </c>
      <c r="F113" s="304">
        <f t="shared" si="23"/>
        <v>0.13138362913278323</v>
      </c>
      <c r="G113" s="333">
        <f>I116</f>
        <v>1684.7</v>
      </c>
      <c r="H113" s="304">
        <f t="shared" si="23"/>
        <v>0.24731058603681455</v>
      </c>
      <c r="I113" s="333">
        <f>K116</f>
        <v>1350.6659999999999</v>
      </c>
      <c r="J113" s="302">
        <f t="shared" si="21"/>
        <v>-0.20013099539324916</v>
      </c>
      <c r="K113" s="305">
        <f>M116</f>
        <v>1688.6089999999988</v>
      </c>
      <c r="L113" s="302">
        <f t="shared" si="24"/>
        <v>-0.12197677405399621</v>
      </c>
      <c r="M113" s="330">
        <v>1923.194</v>
      </c>
    </row>
    <row r="114" spans="1:20" ht="30.6">
      <c r="A114" s="300" t="s">
        <v>97</v>
      </c>
      <c r="B114" s="333">
        <v>3.43</v>
      </c>
      <c r="C114" s="302">
        <f t="shared" si="14"/>
        <v>-0.85509695407883068</v>
      </c>
      <c r="D114" s="305">
        <v>23.670999999999999</v>
      </c>
      <c r="E114" s="333">
        <v>5.71</v>
      </c>
      <c r="F114" s="303" t="str">
        <f t="shared" si="23"/>
        <v>n.m.</v>
      </c>
      <c r="G114" s="333">
        <v>-15.55</v>
      </c>
      <c r="H114" s="304">
        <f t="shared" si="23"/>
        <v>0.12733598967394344</v>
      </c>
      <c r="I114" s="333">
        <v>-17.818999999999999</v>
      </c>
      <c r="J114" s="302">
        <f t="shared" si="21"/>
        <v>-1.6067075246850526</v>
      </c>
      <c r="K114" s="305">
        <v>29.37</v>
      </c>
      <c r="L114" s="302" t="s">
        <v>14</v>
      </c>
      <c r="M114" s="333">
        <v>-55.585999999999999</v>
      </c>
    </row>
    <row r="115" spans="1:20" ht="20.399999999999999">
      <c r="A115" s="300" t="s">
        <v>98</v>
      </c>
      <c r="B115" s="333">
        <v>0.64</v>
      </c>
      <c r="C115" s="302" t="str">
        <f t="shared" si="14"/>
        <v>n.m.</v>
      </c>
      <c r="D115" s="333">
        <v>-0.38600000000000001</v>
      </c>
      <c r="E115" s="333">
        <v>12.3</v>
      </c>
      <c r="F115" s="303">
        <f t="shared" si="23"/>
        <v>0.32443200172283837</v>
      </c>
      <c r="G115" s="333">
        <v>9.2870000000000008</v>
      </c>
      <c r="H115" s="303" t="str">
        <f t="shared" si="23"/>
        <v>n.m.</v>
      </c>
      <c r="I115" s="333">
        <v>-2.9820000000000002</v>
      </c>
      <c r="J115" s="302">
        <f t="shared" si="21"/>
        <v>-0.76447358028591728</v>
      </c>
      <c r="K115" s="333">
        <v>-12.661</v>
      </c>
      <c r="L115" s="302" t="s">
        <v>14</v>
      </c>
      <c r="M115" s="333">
        <v>17.63</v>
      </c>
    </row>
    <row r="116" spans="1:20" s="3" customFormat="1" ht="20.399999999999999">
      <c r="A116" s="295" t="s">
        <v>99</v>
      </c>
      <c r="B116" s="330">
        <f>B112+B113+B114+B115</f>
        <v>2086.5519999999979</v>
      </c>
      <c r="C116" s="297">
        <f t="shared" si="14"/>
        <v>8.898221712610721E-2</v>
      </c>
      <c r="D116" s="330">
        <f>D112+D113+D114+D115</f>
        <v>1916.0570000000002</v>
      </c>
      <c r="E116" s="330">
        <f>E112+E113+E114+E115</f>
        <v>2726.641999999998</v>
      </c>
      <c r="F116" s="298">
        <f t="shared" si="23"/>
        <v>0.43052566522668334</v>
      </c>
      <c r="G116" s="330">
        <f>G112+G113+G114+G115</f>
        <v>1906.0420000000001</v>
      </c>
      <c r="H116" s="298">
        <f t="shared" si="23"/>
        <v>0.13138362913278323</v>
      </c>
      <c r="I116" s="330">
        <v>1684.7</v>
      </c>
      <c r="J116" s="297">
        <f t="shared" si="21"/>
        <v>0.24731058603681452</v>
      </c>
      <c r="K116" s="330">
        <f>K112+K113+K114+K115</f>
        <v>1350.6659999999999</v>
      </c>
      <c r="L116" s="302">
        <f t="shared" si="24"/>
        <v>-0.20013099539324916</v>
      </c>
      <c r="M116" s="330">
        <v>1688.6089999999988</v>
      </c>
      <c r="N116" s="7"/>
      <c r="O116" s="7"/>
      <c r="P116" s="7"/>
      <c r="Q116" s="7"/>
      <c r="R116" s="7"/>
      <c r="S116" s="7"/>
      <c r="T116" s="7"/>
    </row>
    <row r="117" spans="1:20">
      <c r="A117" s="300" t="s">
        <v>100</v>
      </c>
      <c r="B117" s="356">
        <v>11.75</v>
      </c>
      <c r="C117" s="302">
        <f t="shared" si="14"/>
        <v>-0.11660777385159016</v>
      </c>
      <c r="D117" s="348">
        <v>13.301</v>
      </c>
      <c r="E117" s="347">
        <v>67.384</v>
      </c>
      <c r="F117" s="304">
        <f t="shared" si="23"/>
        <v>8.1362133709920625E-2</v>
      </c>
      <c r="G117" s="347">
        <v>62.314</v>
      </c>
      <c r="H117" s="304">
        <f t="shared" si="23"/>
        <v>-3.9697950377562075E-2</v>
      </c>
      <c r="I117" s="347">
        <v>64.89</v>
      </c>
      <c r="J117" s="302">
        <f t="shared" si="21"/>
        <v>-9.4562350872786652E-2</v>
      </c>
      <c r="K117" s="348">
        <v>71.667000000000002</v>
      </c>
      <c r="L117" s="302">
        <f t="shared" si="24"/>
        <v>0.20073384043159204</v>
      </c>
      <c r="M117" s="347">
        <v>59.686</v>
      </c>
    </row>
    <row r="118" spans="1:20">
      <c r="A118" s="300" t="s">
        <v>101</v>
      </c>
      <c r="B118" s="356">
        <v>7.5</v>
      </c>
      <c r="C118" s="302">
        <f t="shared" si="14"/>
        <v>-0.34377460845218311</v>
      </c>
      <c r="D118" s="348">
        <v>11.429</v>
      </c>
      <c r="E118" s="347">
        <v>49.085999999999999</v>
      </c>
      <c r="F118" s="304">
        <f t="shared" si="23"/>
        <v>-3.459533877470744E-2</v>
      </c>
      <c r="G118" s="347">
        <v>50.844999999999999</v>
      </c>
      <c r="H118" s="304">
        <f t="shared" si="23"/>
        <v>0.13729393607265084</v>
      </c>
      <c r="I118" s="347">
        <v>44.707000000000001</v>
      </c>
      <c r="J118" s="302">
        <f t="shared" si="21"/>
        <v>-0.233340192749597</v>
      </c>
      <c r="K118" s="348">
        <v>58.314</v>
      </c>
      <c r="L118" s="302">
        <f t="shared" si="24"/>
        <v>-5.7703805445584518E-2</v>
      </c>
      <c r="M118" s="347">
        <v>61.884999999999998</v>
      </c>
    </row>
    <row r="119" spans="1:20">
      <c r="A119" s="300" t="s">
        <v>102</v>
      </c>
      <c r="B119" s="356">
        <v>90.59</v>
      </c>
      <c r="C119" s="302">
        <f t="shared" si="14"/>
        <v>3.0203257444636753</v>
      </c>
      <c r="D119" s="348">
        <v>22.533000000000001</v>
      </c>
      <c r="E119" s="347">
        <v>101.04600000000001</v>
      </c>
      <c r="F119" s="304">
        <f t="shared" si="23"/>
        <v>0.11225343430785495</v>
      </c>
      <c r="G119" s="347">
        <v>90.847999999999999</v>
      </c>
      <c r="H119" s="304">
        <f t="shared" si="23"/>
        <v>0.35729759610356604</v>
      </c>
      <c r="I119" s="347">
        <v>66.933000000000007</v>
      </c>
      <c r="J119" s="302">
        <f t="shared" si="21"/>
        <v>-0.52763957402663386</v>
      </c>
      <c r="K119" s="348">
        <v>141.69900000000001</v>
      </c>
      <c r="L119" s="302">
        <f t="shared" si="24"/>
        <v>0.31384039090968108</v>
      </c>
      <c r="M119" s="347">
        <v>107.851</v>
      </c>
    </row>
    <row r="120" spans="1:20" s="29" customFormat="1">
      <c r="A120" s="295" t="s">
        <v>103</v>
      </c>
      <c r="B120" s="349">
        <f>-B19/B18</f>
        <v>0.1565882429191785</v>
      </c>
      <c r="C120" s="350"/>
      <c r="D120" s="349">
        <f>-D19/D18</f>
        <v>0.15943147342039307</v>
      </c>
      <c r="E120" s="349">
        <f>-E19/E18</f>
        <v>0.42363085086223534</v>
      </c>
      <c r="F120" s="350"/>
      <c r="G120" s="349">
        <f>-G19/G18</f>
        <v>0.42328205757799298</v>
      </c>
      <c r="H120" s="350"/>
      <c r="I120" s="349">
        <f>-I19/I18</f>
        <v>0.32071395347826287</v>
      </c>
      <c r="J120" s="350"/>
      <c r="K120" s="349">
        <f>-K19/K18</f>
        <v>0.2967020324683603</v>
      </c>
      <c r="L120" s="350"/>
      <c r="M120" s="349">
        <v>0.30303003824320229</v>
      </c>
      <c r="N120" s="7"/>
      <c r="O120" s="7"/>
      <c r="P120" s="7"/>
      <c r="Q120" s="7"/>
      <c r="R120" s="7"/>
      <c r="S120" s="7"/>
      <c r="T120" s="7"/>
    </row>
    <row r="121" spans="1:20">
      <c r="A121" s="300"/>
      <c r="B121" s="320"/>
      <c r="C121" s="321"/>
      <c r="D121" s="321"/>
      <c r="E121" s="320"/>
      <c r="F121" s="321"/>
      <c r="G121" s="333">
        <f>G116-G114</f>
        <v>1921.5920000000001</v>
      </c>
      <c r="H121" s="321"/>
      <c r="I121" s="320"/>
      <c r="J121" s="321"/>
      <c r="K121" s="321"/>
      <c r="L121" s="321"/>
      <c r="M121" s="320"/>
    </row>
    <row r="122" spans="1:20" s="3" customFormat="1">
      <c r="A122" s="295"/>
      <c r="B122" s="313"/>
      <c r="C122" s="306"/>
      <c r="D122" s="306"/>
      <c r="E122" s="313"/>
      <c r="F122" s="306"/>
      <c r="G122" s="313"/>
      <c r="H122" s="306"/>
      <c r="I122" s="313"/>
      <c r="J122" s="306"/>
      <c r="K122" s="306"/>
      <c r="L122" s="306"/>
      <c r="M122" s="313"/>
      <c r="N122" s="7"/>
      <c r="O122" s="7"/>
      <c r="P122" s="7"/>
      <c r="Q122" s="7"/>
      <c r="R122" s="7"/>
      <c r="S122" s="7"/>
      <c r="T122" s="7"/>
    </row>
    <row r="123" spans="1:20" s="3" customFormat="1">
      <c r="A123" s="295" t="s">
        <v>104</v>
      </c>
      <c r="B123" s="330">
        <f>-B98-B97-B102</f>
        <v>72.39</v>
      </c>
      <c r="C123" s="296"/>
      <c r="D123" s="330">
        <f>-D98-D97-D102</f>
        <v>62.306000000000004</v>
      </c>
      <c r="E123" s="330">
        <f>-E98-E97-E102</f>
        <v>425.14000000000004</v>
      </c>
      <c r="F123" s="297">
        <f>(E123-G123)/G123</f>
        <v>-3.8964112248507017E-3</v>
      </c>
      <c r="G123" s="330">
        <f>-G98-G97-G102</f>
        <v>426.803</v>
      </c>
      <c r="H123" s="297">
        <f>(G123-I123)/I123</f>
        <v>1.4203019775394047E-2</v>
      </c>
      <c r="I123" s="330">
        <f>-I98-I97-I102</f>
        <v>420.82600000000002</v>
      </c>
      <c r="J123" s="297">
        <f>(I123-K123)/K123</f>
        <v>-0.19172180660526839</v>
      </c>
      <c r="K123" s="330">
        <f>-K98-K97-K102</f>
        <v>520.64499999999998</v>
      </c>
      <c r="L123" s="297">
        <f>(K123-M123)/M123</f>
        <v>-0.30787749719505897</v>
      </c>
      <c r="M123" s="330">
        <v>752.24399999999991</v>
      </c>
      <c r="N123" s="7"/>
      <c r="O123" s="7"/>
      <c r="P123" s="7"/>
      <c r="Q123" s="7"/>
      <c r="R123" s="7"/>
      <c r="S123" s="7"/>
      <c r="T123" s="7"/>
    </row>
    <row r="124" spans="1:20">
      <c r="A124" s="300"/>
      <c r="B124" s="320"/>
      <c r="C124" s="321"/>
      <c r="D124" s="321"/>
      <c r="E124" s="320"/>
      <c r="F124" s="321"/>
      <c r="G124" s="320"/>
      <c r="H124" s="321"/>
      <c r="I124" s="320"/>
      <c r="J124" s="321"/>
      <c r="K124" s="321"/>
      <c r="L124" s="321"/>
      <c r="M124" s="320"/>
    </row>
    <row r="125" spans="1:20" s="3" customFormat="1">
      <c r="A125" s="3" t="s">
        <v>105</v>
      </c>
      <c r="B125" s="22"/>
      <c r="C125" s="18"/>
      <c r="D125" s="18"/>
      <c r="E125" s="22"/>
      <c r="F125" s="44"/>
      <c r="G125" s="43"/>
      <c r="H125" s="44"/>
      <c r="I125" s="22"/>
      <c r="J125" s="18"/>
      <c r="K125" s="18"/>
      <c r="L125" s="18"/>
      <c r="M125" s="18"/>
      <c r="N125" s="7"/>
      <c r="O125" s="7"/>
      <c r="P125" s="7"/>
      <c r="Q125" s="7"/>
      <c r="R125" s="7"/>
      <c r="S125" s="7"/>
      <c r="T125" s="7"/>
    </row>
    <row r="126" spans="1:20" s="3" customFormat="1">
      <c r="A126" s="11" t="s">
        <v>106</v>
      </c>
      <c r="B126" s="30">
        <v>28077</v>
      </c>
      <c r="C126" s="250">
        <f>IF((+B126/D126)&lt;0,"n.m.",IF(B126&lt;0,(+B126/D126-1)*-1,(+B126/D126-1)))</f>
        <v>-1.64985287936108E-2</v>
      </c>
      <c r="D126" s="30">
        <v>28548</v>
      </c>
      <c r="E126" s="30">
        <v>28990</v>
      </c>
      <c r="F126" s="12">
        <f>IF((+E126/G126)&lt;0,"n.m.",IF(E126&lt;0,(+E126/G126-1)*-1,(+E126/G126-1)))</f>
        <v>5.2230409059562222E-2</v>
      </c>
      <c r="G126" s="278">
        <v>27551</v>
      </c>
      <c r="H126" s="12">
        <f>IF((+G126/I126)&lt;0,"n.m.",IF(G126&lt;0,(+G126/I126-1)*-1,(+G126/I126-1)))</f>
        <v>1.5143699336772398E-2</v>
      </c>
      <c r="I126" s="30">
        <v>27140</v>
      </c>
      <c r="J126" s="13"/>
      <c r="K126" s="31"/>
      <c r="L126" s="13"/>
      <c r="M126" s="32"/>
      <c r="N126" s="290"/>
      <c r="O126" s="7"/>
      <c r="P126" s="7"/>
      <c r="Q126" s="7"/>
      <c r="R126" s="7"/>
      <c r="S126" s="7"/>
      <c r="T126" s="7"/>
    </row>
    <row r="127" spans="1:20" s="3" customFormat="1">
      <c r="A127" s="11" t="s">
        <v>107</v>
      </c>
      <c r="B127" s="30">
        <v>8916</v>
      </c>
      <c r="C127" s="250">
        <f t="shared" ref="C127:C156" si="25">IF((+B127/D127)&lt;0,"n.m.",IF(B127&lt;0,(+B127/D127-1)*-1,(+B127/D127-1)))</f>
        <v>3.2631934286035946E-3</v>
      </c>
      <c r="D127" s="30">
        <v>8887</v>
      </c>
      <c r="E127" s="30">
        <v>10346</v>
      </c>
      <c r="F127" s="12">
        <f t="shared" ref="F127:H147" si="26">IF((+E127/G127)&lt;0,"n.m.",IF(E127&lt;0,(+E127/G127-1)*-1,(+E127/G127-1)))</f>
        <v>4.9290060851926887E-2</v>
      </c>
      <c r="G127" s="278">
        <v>9860</v>
      </c>
      <c r="H127" s="12">
        <f t="shared" si="26"/>
        <v>1.7019082001031416E-2</v>
      </c>
      <c r="I127" s="30">
        <v>9695</v>
      </c>
      <c r="J127" s="13"/>
      <c r="K127" s="31"/>
      <c r="L127" s="13"/>
      <c r="M127" s="32"/>
      <c r="N127" s="290"/>
      <c r="O127" s="7"/>
      <c r="P127" s="7"/>
      <c r="Q127" s="7"/>
      <c r="R127" s="7"/>
      <c r="S127" s="7"/>
      <c r="T127" s="7"/>
    </row>
    <row r="128" spans="1:20" s="3" customFormat="1">
      <c r="A128" s="17" t="s">
        <v>108</v>
      </c>
      <c r="B128" s="30">
        <v>4535</v>
      </c>
      <c r="C128" s="250">
        <f t="shared" si="25"/>
        <v>7.7965295935345846E-2</v>
      </c>
      <c r="D128" s="30">
        <v>4207</v>
      </c>
      <c r="E128" s="30">
        <v>4457</v>
      </c>
      <c r="F128" s="12">
        <f t="shared" si="26"/>
        <v>3.1235539102267396E-2</v>
      </c>
      <c r="G128" s="278">
        <v>4322</v>
      </c>
      <c r="H128" s="12">
        <f t="shared" si="26"/>
        <v>-0.12065106815869786</v>
      </c>
      <c r="I128" s="30">
        <v>4915</v>
      </c>
      <c r="J128" s="13"/>
      <c r="K128" s="31"/>
      <c r="L128" s="13"/>
      <c r="M128" s="32"/>
      <c r="N128" s="290"/>
      <c r="O128" s="7"/>
      <c r="P128" s="7"/>
      <c r="Q128" s="7"/>
      <c r="R128" s="7"/>
      <c r="S128" s="7"/>
      <c r="T128" s="7"/>
    </row>
    <row r="129" spans="1:20" s="3" customFormat="1">
      <c r="A129" s="17" t="s">
        <v>109</v>
      </c>
      <c r="B129" s="30">
        <v>3228</v>
      </c>
      <c r="C129" s="250">
        <f t="shared" si="25"/>
        <v>-3.3961099104662384E-3</v>
      </c>
      <c r="D129" s="30">
        <v>3239</v>
      </c>
      <c r="E129" s="30">
        <v>3692</v>
      </c>
      <c r="F129" s="12">
        <f t="shared" si="26"/>
        <v>1.067615658362997E-2</v>
      </c>
      <c r="G129" s="278">
        <v>3653</v>
      </c>
      <c r="H129" s="12">
        <f t="shared" si="26"/>
        <v>-3.7163943068002081E-2</v>
      </c>
      <c r="I129" s="30">
        <v>3794</v>
      </c>
      <c r="J129" s="13"/>
      <c r="K129" s="31"/>
      <c r="L129" s="13"/>
      <c r="M129" s="32"/>
      <c r="N129" s="290"/>
      <c r="O129" s="7"/>
      <c r="P129" s="7"/>
      <c r="Q129" s="7"/>
      <c r="R129" s="7"/>
      <c r="S129" s="7"/>
      <c r="T129" s="7"/>
    </row>
    <row r="130" spans="1:20">
      <c r="A130" s="17" t="s">
        <v>110</v>
      </c>
      <c r="B130" s="30">
        <v>2586</v>
      </c>
      <c r="C130" s="250">
        <f t="shared" si="25"/>
        <v>-4.5051698670605655E-2</v>
      </c>
      <c r="D130" s="30">
        <v>2708</v>
      </c>
      <c r="E130" s="30">
        <v>2696</v>
      </c>
      <c r="F130" s="12">
        <f t="shared" si="26"/>
        <v>-7.3637702503681624E-3</v>
      </c>
      <c r="G130" s="278">
        <v>2716</v>
      </c>
      <c r="H130" s="12">
        <f t="shared" si="26"/>
        <v>7.8205637157602315E-2</v>
      </c>
      <c r="I130" s="30">
        <v>2519</v>
      </c>
      <c r="J130" s="13"/>
      <c r="K130" s="31"/>
      <c r="L130" s="13"/>
      <c r="M130" s="32"/>
      <c r="N130" s="290"/>
    </row>
    <row r="131" spans="1:20">
      <c r="A131" s="17" t="s">
        <v>111</v>
      </c>
      <c r="B131" s="30">
        <v>1100</v>
      </c>
      <c r="C131" s="250">
        <f t="shared" si="25"/>
        <v>-0.26568758344459276</v>
      </c>
      <c r="D131" s="30">
        <v>1498</v>
      </c>
      <c r="E131" s="30">
        <v>1384</v>
      </c>
      <c r="F131" s="12">
        <f t="shared" si="26"/>
        <v>-0.29817444219066935</v>
      </c>
      <c r="G131" s="278">
        <v>1972</v>
      </c>
      <c r="H131" s="12">
        <f t="shared" si="26"/>
        <v>-0.23536254362155873</v>
      </c>
      <c r="I131" s="30">
        <v>2579</v>
      </c>
      <c r="J131" s="13"/>
      <c r="K131" s="31"/>
      <c r="L131" s="13"/>
      <c r="M131" s="32"/>
      <c r="N131" s="290"/>
    </row>
    <row r="132" spans="1:20">
      <c r="A132" s="17" t="s">
        <v>112</v>
      </c>
      <c r="B132" s="30">
        <v>1789</v>
      </c>
      <c r="C132" s="250">
        <f t="shared" si="25"/>
        <v>5.8579881656804833E-2</v>
      </c>
      <c r="D132" s="30">
        <v>1690</v>
      </c>
      <c r="E132" s="30">
        <v>1818</v>
      </c>
      <c r="F132" s="12">
        <f t="shared" si="26"/>
        <v>1.6778523489932917E-2</v>
      </c>
      <c r="G132" s="278">
        <v>1788</v>
      </c>
      <c r="H132" s="12">
        <f t="shared" si="26"/>
        <v>-2.0273972602739776E-2</v>
      </c>
      <c r="I132" s="30">
        <v>1825</v>
      </c>
      <c r="J132" s="13"/>
      <c r="K132" s="31"/>
      <c r="L132" s="13"/>
      <c r="M132" s="32"/>
      <c r="N132" s="290"/>
    </row>
    <row r="133" spans="1:20">
      <c r="A133" s="17" t="s">
        <v>113</v>
      </c>
      <c r="B133" s="30">
        <v>1258</v>
      </c>
      <c r="C133" s="250">
        <f t="shared" si="25"/>
        <v>2.2764227642276369E-2</v>
      </c>
      <c r="D133" s="30">
        <v>1230</v>
      </c>
      <c r="E133" s="30">
        <v>1269</v>
      </c>
      <c r="F133" s="12">
        <f t="shared" si="26"/>
        <v>-1.1682242990654235E-2</v>
      </c>
      <c r="G133" s="278">
        <v>1284</v>
      </c>
      <c r="H133" s="12">
        <f t="shared" si="26"/>
        <v>-0.14854111405835546</v>
      </c>
      <c r="I133" s="30">
        <v>1508</v>
      </c>
      <c r="J133" s="13"/>
      <c r="K133" s="31"/>
      <c r="L133" s="13"/>
      <c r="M133" s="32"/>
      <c r="N133" s="290"/>
    </row>
    <row r="134" spans="1:20">
      <c r="A134" s="17" t="s">
        <v>114</v>
      </c>
      <c r="B134" s="30">
        <v>676</v>
      </c>
      <c r="C134" s="250">
        <f t="shared" si="25"/>
        <v>-2.3121387283236983E-2</v>
      </c>
      <c r="D134" s="30">
        <v>692</v>
      </c>
      <c r="E134" s="30">
        <v>693</v>
      </c>
      <c r="F134" s="12">
        <f t="shared" si="26"/>
        <v>-6.4777327935222617E-2</v>
      </c>
      <c r="G134" s="278">
        <v>741</v>
      </c>
      <c r="H134" s="12">
        <f t="shared" si="26"/>
        <v>-7.7210460772104583E-2</v>
      </c>
      <c r="I134" s="30">
        <v>803</v>
      </c>
      <c r="J134" s="13"/>
      <c r="K134" s="31"/>
      <c r="L134" s="13"/>
      <c r="M134" s="32"/>
      <c r="N134" s="290"/>
    </row>
    <row r="135" spans="1:20">
      <c r="A135" s="17" t="s">
        <v>115</v>
      </c>
      <c r="B135" s="30">
        <v>213</v>
      </c>
      <c r="C135" s="250">
        <f t="shared" si="25"/>
        <v>-4.4843049327354279E-2</v>
      </c>
      <c r="D135" s="30">
        <v>223</v>
      </c>
      <c r="E135" s="30">
        <v>217</v>
      </c>
      <c r="F135" s="12">
        <f t="shared" si="26"/>
        <v>0.16042780748663099</v>
      </c>
      <c r="G135" s="278">
        <v>187</v>
      </c>
      <c r="H135" s="12">
        <f t="shared" si="26"/>
        <v>1.08108108108107E-2</v>
      </c>
      <c r="I135" s="30">
        <v>185</v>
      </c>
      <c r="J135" s="13"/>
      <c r="K135" s="31"/>
      <c r="L135" s="13"/>
      <c r="M135" s="32"/>
      <c r="N135" s="290"/>
    </row>
    <row r="136" spans="1:20">
      <c r="A136" s="17" t="s">
        <v>116</v>
      </c>
      <c r="B136" s="30">
        <v>789</v>
      </c>
      <c r="C136" s="250">
        <f t="shared" si="25"/>
        <v>0.17937219730941711</v>
      </c>
      <c r="D136" s="30">
        <v>669</v>
      </c>
      <c r="E136" s="30">
        <v>713</v>
      </c>
      <c r="F136" s="12">
        <f t="shared" si="26"/>
        <v>8.6890243902439046E-2</v>
      </c>
      <c r="G136" s="278">
        <v>656</v>
      </c>
      <c r="H136" s="12">
        <f t="shared" si="26"/>
        <v>1.8633540372670732E-2</v>
      </c>
      <c r="I136" s="30">
        <v>644</v>
      </c>
      <c r="J136" s="13"/>
      <c r="K136" s="31"/>
      <c r="L136" s="13"/>
      <c r="M136" s="32"/>
      <c r="N136" s="290"/>
    </row>
    <row r="137" spans="1:20">
      <c r="A137" s="17" t="s">
        <v>117</v>
      </c>
      <c r="B137" s="30">
        <v>350</v>
      </c>
      <c r="C137" s="250">
        <f t="shared" si="25"/>
        <v>8.6956521739130377E-2</v>
      </c>
      <c r="D137" s="30">
        <v>322</v>
      </c>
      <c r="E137" s="30">
        <v>340</v>
      </c>
      <c r="F137" s="12">
        <f t="shared" si="26"/>
        <v>0.1371237458193979</v>
      </c>
      <c r="G137" s="278">
        <v>299</v>
      </c>
      <c r="H137" s="12">
        <f t="shared" si="26"/>
        <v>0.32888888888888879</v>
      </c>
      <c r="I137" s="30">
        <v>225</v>
      </c>
      <c r="J137" s="13"/>
      <c r="K137" s="31"/>
      <c r="L137" s="13"/>
      <c r="M137" s="32"/>
      <c r="N137" s="290"/>
    </row>
    <row r="138" spans="1:20">
      <c r="A138" s="17" t="s">
        <v>118</v>
      </c>
      <c r="B138" s="30">
        <v>1263</v>
      </c>
      <c r="C138" s="250">
        <f t="shared" si="25"/>
        <v>-8.1454545454545446E-2</v>
      </c>
      <c r="D138" s="30">
        <v>1375</v>
      </c>
      <c r="E138" s="30">
        <v>1347</v>
      </c>
      <c r="F138" s="12">
        <f t="shared" si="26"/>
        <v>-0.11556139198949444</v>
      </c>
      <c r="G138" s="278">
        <v>1523</v>
      </c>
      <c r="H138" s="12">
        <f t="shared" si="26"/>
        <v>-0.11504938988959912</v>
      </c>
      <c r="I138" s="30">
        <v>1721</v>
      </c>
      <c r="J138" s="13"/>
      <c r="K138" s="31"/>
      <c r="L138" s="13"/>
      <c r="M138" s="32"/>
      <c r="N138" s="290"/>
    </row>
    <row r="139" spans="1:20">
      <c r="A139" s="11" t="s">
        <v>119</v>
      </c>
      <c r="B139" s="34">
        <v>611</v>
      </c>
      <c r="C139" s="250">
        <f t="shared" si="25"/>
        <v>-0.1584022038567493</v>
      </c>
      <c r="D139" s="34">
        <v>726</v>
      </c>
      <c r="E139" s="34">
        <v>704</v>
      </c>
      <c r="F139" s="12">
        <f t="shared" si="26"/>
        <v>-0.12655086848635233</v>
      </c>
      <c r="G139" s="278">
        <v>806</v>
      </c>
      <c r="H139" s="12">
        <f t="shared" si="26"/>
        <v>-0.18668012108980825</v>
      </c>
      <c r="I139" s="34">
        <v>991</v>
      </c>
      <c r="J139" s="13"/>
      <c r="K139" s="35"/>
      <c r="L139" s="13"/>
      <c r="N139" s="290"/>
    </row>
    <row r="140" spans="1:20">
      <c r="A140" s="11" t="s">
        <v>120</v>
      </c>
      <c r="B140" s="30">
        <v>439</v>
      </c>
      <c r="C140" s="250">
        <f t="shared" si="25"/>
        <v>-0.1306930693069307</v>
      </c>
      <c r="D140" s="30">
        <v>505</v>
      </c>
      <c r="E140" s="30">
        <v>486</v>
      </c>
      <c r="F140" s="12">
        <f t="shared" si="26"/>
        <v>-0.19269102990033227</v>
      </c>
      <c r="G140" s="278">
        <v>602</v>
      </c>
      <c r="H140" s="12">
        <f t="shared" si="26"/>
        <v>-0.17307692307692313</v>
      </c>
      <c r="I140" s="30">
        <v>728</v>
      </c>
      <c r="J140" s="13"/>
      <c r="K140" s="31"/>
      <c r="L140" s="13"/>
      <c r="M140" s="32"/>
      <c r="N140" s="290"/>
    </row>
    <row r="141" spans="1:20" s="3" customFormat="1">
      <c r="A141" s="11" t="s">
        <v>121</v>
      </c>
      <c r="B141" s="30">
        <v>285</v>
      </c>
      <c r="C141" s="250">
        <f t="shared" si="25"/>
        <v>-0.27848101265822789</v>
      </c>
      <c r="D141" s="30">
        <v>395</v>
      </c>
      <c r="E141" s="30">
        <v>348</v>
      </c>
      <c r="F141" s="12">
        <f t="shared" si="26"/>
        <v>-2.2471910112359605E-2</v>
      </c>
      <c r="G141" s="278">
        <v>356</v>
      </c>
      <c r="H141" s="12">
        <f t="shared" si="26"/>
        <v>0.29454545454545444</v>
      </c>
      <c r="I141" s="30">
        <v>275</v>
      </c>
      <c r="J141" s="13"/>
      <c r="K141" s="31"/>
      <c r="L141" s="13"/>
      <c r="M141" s="32"/>
      <c r="N141" s="290"/>
      <c r="O141" s="7"/>
      <c r="P141" s="7"/>
      <c r="Q141" s="7"/>
      <c r="R141" s="7"/>
      <c r="S141" s="7"/>
      <c r="T141" s="7"/>
    </row>
    <row r="142" spans="1:20">
      <c r="A142" s="11" t="s">
        <v>122</v>
      </c>
      <c r="B142" s="30">
        <v>509</v>
      </c>
      <c r="C142" s="250">
        <f t="shared" si="25"/>
        <v>-7.7898550724637694E-2</v>
      </c>
      <c r="D142" s="30">
        <v>552</v>
      </c>
      <c r="E142" s="30">
        <v>515</v>
      </c>
      <c r="F142" s="12">
        <f t="shared" si="26"/>
        <v>-9.330985915492962E-2</v>
      </c>
      <c r="G142" s="278">
        <v>568</v>
      </c>
      <c r="H142" s="12">
        <f t="shared" si="26"/>
        <v>1.3089430894308944</v>
      </c>
      <c r="I142" s="30">
        <v>246</v>
      </c>
      <c r="J142" s="13"/>
      <c r="K142" s="31"/>
      <c r="L142" s="13"/>
      <c r="M142" s="32"/>
      <c r="N142" s="290"/>
    </row>
    <row r="143" spans="1:20">
      <c r="A143" s="11" t="s">
        <v>123</v>
      </c>
      <c r="B143" s="30">
        <v>833</v>
      </c>
      <c r="C143" s="250">
        <f t="shared" si="25"/>
        <v>-8.8621444201312904E-2</v>
      </c>
      <c r="D143" s="30">
        <v>914</v>
      </c>
      <c r="E143" s="30">
        <v>941</v>
      </c>
      <c r="F143" s="12">
        <f t="shared" si="26"/>
        <v>-6.27490039840638E-2</v>
      </c>
      <c r="G143" s="278">
        <v>1004</v>
      </c>
      <c r="H143" s="12">
        <f t="shared" si="26"/>
        <v>0.13063063063063063</v>
      </c>
      <c r="I143" s="30">
        <v>888</v>
      </c>
      <c r="J143" s="13"/>
      <c r="K143" s="31"/>
      <c r="L143" s="13"/>
      <c r="M143" s="32"/>
      <c r="N143" s="290"/>
    </row>
    <row r="144" spans="1:20">
      <c r="A144" s="11" t="s">
        <v>124</v>
      </c>
      <c r="B144" s="30">
        <v>5213</v>
      </c>
      <c r="C144" s="250">
        <f t="shared" si="25"/>
        <v>-0.17411280101394166</v>
      </c>
      <c r="D144" s="30">
        <v>6312</v>
      </c>
      <c r="E144" s="30">
        <v>5983</v>
      </c>
      <c r="F144" s="12">
        <f t="shared" si="26"/>
        <v>-0.11125965537730242</v>
      </c>
      <c r="G144" s="278">
        <v>6732</v>
      </c>
      <c r="H144" s="12">
        <f t="shared" si="26"/>
        <v>4.5828802237066979E-2</v>
      </c>
      <c r="I144" s="30">
        <v>6437</v>
      </c>
      <c r="J144" s="13"/>
      <c r="K144" s="31"/>
      <c r="L144" s="13"/>
      <c r="M144" s="32"/>
      <c r="N144" s="290"/>
    </row>
    <row r="145" spans="1:20">
      <c r="A145" s="11" t="s">
        <v>125</v>
      </c>
      <c r="B145" s="30">
        <v>4485</v>
      </c>
      <c r="C145" s="250">
        <f t="shared" si="25"/>
        <v>0.11789631106679965</v>
      </c>
      <c r="D145" s="30">
        <v>4012</v>
      </c>
      <c r="E145" s="30">
        <v>4194</v>
      </c>
      <c r="F145" s="12">
        <f t="shared" si="26"/>
        <v>0.34293948126801155</v>
      </c>
      <c r="G145" s="30">
        <v>3123</v>
      </c>
      <c r="H145" s="12">
        <f t="shared" si="26"/>
        <v>0.19243986254295531</v>
      </c>
      <c r="I145" s="30">
        <v>2619</v>
      </c>
      <c r="J145" s="36"/>
      <c r="K145" s="31"/>
      <c r="L145" s="36"/>
      <c r="M145" s="32"/>
      <c r="N145" s="290"/>
    </row>
    <row r="146" spans="1:20">
      <c r="A146" s="11" t="s">
        <v>126</v>
      </c>
      <c r="B146" s="39">
        <v>1087</v>
      </c>
      <c r="C146" s="250">
        <f t="shared" si="25"/>
        <v>-0.34439083232810619</v>
      </c>
      <c r="D146" s="39">
        <v>1658</v>
      </c>
      <c r="E146" s="39">
        <v>1322</v>
      </c>
      <c r="F146" s="12">
        <f t="shared" si="26"/>
        <v>-0.45974662852472414</v>
      </c>
      <c r="G146" s="39">
        <v>2447</v>
      </c>
      <c r="H146" s="12">
        <f t="shared" si="26"/>
        <v>-7.5207860922146597E-2</v>
      </c>
      <c r="I146" s="39">
        <v>2646</v>
      </c>
      <c r="J146" s="13"/>
      <c r="K146" s="40"/>
      <c r="L146" s="13"/>
      <c r="M146" s="39"/>
      <c r="N146" s="290"/>
    </row>
    <row r="147" spans="1:20">
      <c r="A147" s="11" t="s">
        <v>127</v>
      </c>
      <c r="B147" s="39">
        <v>566</v>
      </c>
      <c r="C147" s="250">
        <f t="shared" si="25"/>
        <v>-0.30466830466830463</v>
      </c>
      <c r="D147" s="39">
        <v>814</v>
      </c>
      <c r="E147" s="39">
        <v>860</v>
      </c>
      <c r="F147" s="12">
        <f t="shared" si="26"/>
        <v>0.2011173184357542</v>
      </c>
      <c r="G147" s="39">
        <v>716</v>
      </c>
      <c r="H147" s="12">
        <f t="shared" si="26"/>
        <v>-1.3947001394699621E-3</v>
      </c>
      <c r="I147" s="39">
        <v>717</v>
      </c>
      <c r="J147" s="13"/>
      <c r="K147" s="40"/>
      <c r="L147" s="13"/>
      <c r="M147" s="39"/>
      <c r="N147" s="290"/>
    </row>
    <row r="148" spans="1:20">
      <c r="A148" s="24" t="s">
        <v>106</v>
      </c>
      <c r="B148" s="41">
        <f>B126</f>
        <v>28077</v>
      </c>
      <c r="C148" s="250">
        <f t="shared" si="25"/>
        <v>-1.64985287936108E-2</v>
      </c>
      <c r="D148" s="41">
        <f>D126</f>
        <v>28548</v>
      </c>
      <c r="E148" s="41">
        <f>E126</f>
        <v>28990</v>
      </c>
      <c r="F148" s="12">
        <f t="shared" ref="F148:H153" si="27">IF((+E148/G148)&lt;0,"n.m.",IF(E148&lt;0,(+E148/G148-1)*-1,(+E148/G148-1)))</f>
        <v>5.2230409059562222E-2</v>
      </c>
      <c r="G148" s="41">
        <f>G126</f>
        <v>27551</v>
      </c>
      <c r="H148" s="12">
        <f t="shared" si="27"/>
        <v>1.5143699336772398E-2</v>
      </c>
      <c r="I148" s="41">
        <f>I126</f>
        <v>27140</v>
      </c>
      <c r="J148" s="13"/>
      <c r="K148" s="42"/>
      <c r="L148" s="13"/>
      <c r="M148" s="39"/>
      <c r="N148" s="290"/>
    </row>
    <row r="149" spans="1:20">
      <c r="A149" s="24" t="s">
        <v>107</v>
      </c>
      <c r="B149" s="41">
        <f>B127</f>
        <v>8916</v>
      </c>
      <c r="C149" s="250">
        <f t="shared" si="25"/>
        <v>3.2631934286035946E-3</v>
      </c>
      <c r="D149" s="41">
        <f>D127</f>
        <v>8887</v>
      </c>
      <c r="E149" s="41">
        <f>E127</f>
        <v>10346</v>
      </c>
      <c r="F149" s="12">
        <f t="shared" si="27"/>
        <v>4.9290060851926887E-2</v>
      </c>
      <c r="G149" s="41">
        <f>G127</f>
        <v>9860</v>
      </c>
      <c r="H149" s="12">
        <f t="shared" si="27"/>
        <v>1.7019082001031416E-2</v>
      </c>
      <c r="I149" s="41">
        <f>I127</f>
        <v>9695</v>
      </c>
      <c r="J149" s="13"/>
      <c r="K149" s="42"/>
      <c r="L149" s="13"/>
      <c r="M149" s="39"/>
      <c r="N149" s="290"/>
    </row>
    <row r="150" spans="1:20" s="3" customFormat="1">
      <c r="A150" s="24" t="s">
        <v>128</v>
      </c>
      <c r="B150" s="34">
        <f>B128+B129+B130+B131+B132+B133+B134+B135+B136+B137</f>
        <v>16524</v>
      </c>
      <c r="C150" s="250">
        <f t="shared" si="25"/>
        <v>2.7916009224420169E-3</v>
      </c>
      <c r="D150" s="34">
        <f>D128+D129+D130+D131+D132+D133+D134+D135+D136+D137</f>
        <v>16478</v>
      </c>
      <c r="E150" s="34">
        <f>E128+E129+E130+E131+E132+E133+E134+E135+E136+E137</f>
        <v>17279</v>
      </c>
      <c r="F150" s="12">
        <f t="shared" si="27"/>
        <v>-1.9241684640708412E-2</v>
      </c>
      <c r="G150" s="34">
        <f>G128+G129+G130+G131+G132+G133+G134+G135+G136+G137</f>
        <v>17618</v>
      </c>
      <c r="H150" s="12">
        <f t="shared" si="27"/>
        <v>-7.2590409011949242E-2</v>
      </c>
      <c r="I150" s="34">
        <f>I128+I129+I130+I131+I132+I133+I134+I135+I136+I137</f>
        <v>18997</v>
      </c>
      <c r="J150" s="13"/>
      <c r="K150" s="35"/>
      <c r="L150" s="13"/>
      <c r="M150" s="21"/>
      <c r="N150" s="290"/>
      <c r="O150" s="7"/>
      <c r="P150" s="7"/>
      <c r="Q150" s="7"/>
      <c r="R150" s="7"/>
      <c r="S150" s="7"/>
      <c r="T150" s="7"/>
    </row>
    <row r="151" spans="1:20" s="3" customFormat="1">
      <c r="A151" s="24" t="s">
        <v>129</v>
      </c>
      <c r="B151" s="34">
        <f>B138+B139+B140+B141+B142+B143</f>
        <v>3940</v>
      </c>
      <c r="C151" s="250">
        <f t="shared" si="25"/>
        <v>-0.11797627042758008</v>
      </c>
      <c r="D151" s="34">
        <f>D138+D139+D140+D141+D142+D143</f>
        <v>4467</v>
      </c>
      <c r="E151" s="34">
        <f>E138+E139+E140+E141+E142+E143</f>
        <v>4341</v>
      </c>
      <c r="F151" s="12">
        <f t="shared" si="27"/>
        <v>-0.10660629759209717</v>
      </c>
      <c r="G151" s="34">
        <f>G138+G139+G140+G141+G142+G143</f>
        <v>4859</v>
      </c>
      <c r="H151" s="12">
        <f t="shared" si="27"/>
        <v>2.0622808826562533E-3</v>
      </c>
      <c r="I151" s="34">
        <f>I138+I139+I140+I141+I142+I143</f>
        <v>4849</v>
      </c>
      <c r="J151" s="13"/>
      <c r="K151" s="35"/>
      <c r="L151" s="13"/>
      <c r="M151" s="21"/>
      <c r="N151" s="290"/>
      <c r="O151" s="7"/>
      <c r="P151" s="7"/>
      <c r="Q151" s="7"/>
      <c r="R151" s="7"/>
      <c r="S151" s="7"/>
      <c r="T151" s="7"/>
    </row>
    <row r="152" spans="1:20">
      <c r="A152" s="24" t="s">
        <v>130</v>
      </c>
      <c r="B152" s="34">
        <f>B144+B145+B146+B147</f>
        <v>11351</v>
      </c>
      <c r="C152" s="250">
        <f t="shared" si="25"/>
        <v>-0.11292591434823385</v>
      </c>
      <c r="D152" s="34">
        <f>D144+D145+D146+D147</f>
        <v>12796</v>
      </c>
      <c r="E152" s="34">
        <f>E144+E145+E146+E147</f>
        <v>12359</v>
      </c>
      <c r="F152" s="12">
        <f t="shared" si="27"/>
        <v>-5.0622215394069747E-2</v>
      </c>
      <c r="G152" s="34">
        <f>G144+G145+G146+G147</f>
        <v>13018</v>
      </c>
      <c r="H152" s="12">
        <f t="shared" si="27"/>
        <v>4.8232546903937523E-2</v>
      </c>
      <c r="I152" s="34">
        <f>I144+I145+I146+I147</f>
        <v>12419</v>
      </c>
      <c r="J152" s="13"/>
      <c r="K152" s="35"/>
      <c r="L152" s="13"/>
      <c r="M152" s="21"/>
      <c r="N152" s="290"/>
    </row>
    <row r="153" spans="1:20" s="3" customFormat="1">
      <c r="A153" s="3" t="s">
        <v>131</v>
      </c>
      <c r="B153" s="43">
        <f>SUM(B148:B152)</f>
        <v>68808</v>
      </c>
      <c r="C153" s="275">
        <f t="shared" si="25"/>
        <v>-3.3269641452174925E-2</v>
      </c>
      <c r="D153" s="43">
        <f>SUM(D148:D152)</f>
        <v>71176</v>
      </c>
      <c r="E153" s="43">
        <f>SUM(E148:E152)</f>
        <v>73315</v>
      </c>
      <c r="F153" s="4">
        <f t="shared" si="27"/>
        <v>5.6099635146626969E-3</v>
      </c>
      <c r="G153" s="43">
        <f>SUM(G148:G152)</f>
        <v>72906</v>
      </c>
      <c r="H153" s="4">
        <f t="shared" si="27"/>
        <v>-2.653898768809837E-3</v>
      </c>
      <c r="I153" s="43">
        <f>SUM(I148:I152)</f>
        <v>73100</v>
      </c>
      <c r="J153" s="6">
        <f>(I153-K153)/K153</f>
        <v>-1.229563572490204E-2</v>
      </c>
      <c r="K153" s="44">
        <v>74010</v>
      </c>
      <c r="L153" s="6">
        <v>-3.715556943251893E-2</v>
      </c>
      <c r="M153" s="44">
        <v>76866</v>
      </c>
      <c r="N153" s="290"/>
      <c r="O153" s="7"/>
      <c r="P153" s="7"/>
      <c r="Q153" s="7"/>
      <c r="R153" s="7"/>
      <c r="S153" s="7"/>
      <c r="T153" s="7"/>
    </row>
    <row r="154" spans="1:20">
      <c r="B154" s="45"/>
      <c r="C154" s="250"/>
      <c r="D154" s="46"/>
      <c r="E154" s="45"/>
      <c r="F154" s="13"/>
      <c r="G154" s="45"/>
      <c r="H154" s="13"/>
      <c r="I154" s="45"/>
      <c r="J154" s="13"/>
      <c r="K154" s="46"/>
      <c r="L154" s="6"/>
      <c r="M154" s="46"/>
    </row>
    <row r="155" spans="1:20">
      <c r="A155" s="11" t="s">
        <v>132</v>
      </c>
      <c r="B155" s="48">
        <v>28132</v>
      </c>
      <c r="C155" s="250">
        <f t="shared" si="25"/>
        <v>1.2100505374048609E-3</v>
      </c>
      <c r="D155" s="48">
        <v>28098</v>
      </c>
      <c r="E155" s="47">
        <v>28552</v>
      </c>
      <c r="F155" s="13">
        <f>(E155-G155)/G155</f>
        <v>2.3846236597697853E-2</v>
      </c>
      <c r="G155" s="47">
        <v>27887</v>
      </c>
      <c r="H155" s="13">
        <f>(G155-I155)/I155</f>
        <v>-7.2621124203481541E-3</v>
      </c>
      <c r="I155" s="47">
        <v>28091</v>
      </c>
      <c r="J155" s="13">
        <f>(I155-K155)/K155</f>
        <v>-7.2097543735642339E-3</v>
      </c>
      <c r="K155" s="48">
        <v>28295</v>
      </c>
      <c r="L155" s="13">
        <f>(K155-M155)/M155</f>
        <v>-0.11669216120875348</v>
      </c>
      <c r="M155" s="48">
        <v>32033</v>
      </c>
    </row>
    <row r="156" spans="1:20">
      <c r="A156" s="11" t="s">
        <v>133</v>
      </c>
      <c r="B156" s="48">
        <v>40676</v>
      </c>
      <c r="C156" s="250">
        <f t="shared" si="25"/>
        <v>-5.5759320302706694E-2</v>
      </c>
      <c r="D156" s="48">
        <v>43078</v>
      </c>
      <c r="E156" s="47">
        <v>44763</v>
      </c>
      <c r="F156" s="13">
        <f>(E156-G156)/G156</f>
        <v>-5.6864879273195758E-3</v>
      </c>
      <c r="G156" s="47">
        <v>45019</v>
      </c>
      <c r="H156" s="13">
        <f>(G156-I156)/I156</f>
        <v>2.2217778666488923E-4</v>
      </c>
      <c r="I156" s="47">
        <v>45009</v>
      </c>
      <c r="J156" s="13">
        <f>(I156-K156)/K156</f>
        <v>-1.5443508695176638E-2</v>
      </c>
      <c r="K156" s="48">
        <v>45715</v>
      </c>
      <c r="L156" s="13">
        <f>(K156-M156)/M156</f>
        <v>1.9673008721254433E-2</v>
      </c>
      <c r="M156" s="48">
        <v>44833</v>
      </c>
    </row>
    <row r="157" spans="1:20">
      <c r="B157" s="49"/>
      <c r="C157" s="50"/>
      <c r="E157" s="280"/>
      <c r="F157" s="50"/>
      <c r="G157" s="49"/>
      <c r="H157" s="50"/>
      <c r="I157" s="49"/>
      <c r="J157" s="50"/>
      <c r="K157" s="50"/>
      <c r="L157" s="13"/>
      <c r="M157" s="50"/>
    </row>
    <row r="158" spans="1:20" s="3" customFormat="1">
      <c r="A158" s="3" t="s">
        <v>4</v>
      </c>
      <c r="B158" s="22"/>
      <c r="C158" s="18"/>
      <c r="D158" s="18"/>
      <c r="E158" s="22"/>
      <c r="F158" s="18"/>
      <c r="G158" s="22"/>
      <c r="H158" s="18"/>
      <c r="I158" s="22"/>
      <c r="J158" s="18"/>
      <c r="K158" s="18"/>
      <c r="L158" s="13"/>
      <c r="M158" s="18"/>
      <c r="N158" s="7"/>
      <c r="O158" s="7"/>
      <c r="P158" s="7"/>
      <c r="Q158" s="7"/>
      <c r="R158" s="7"/>
      <c r="S158" s="7"/>
      <c r="T158" s="7"/>
    </row>
    <row r="159" spans="1:20" s="3" customFormat="1">
      <c r="A159" s="11" t="s">
        <v>106</v>
      </c>
      <c r="B159" s="51">
        <v>1079.74</v>
      </c>
      <c r="C159" s="250">
        <f t="shared" ref="C159:C216" si="28">IF((+B159/D159)&lt;0,"n.m.",IF(B159&lt;0,(+B159/D159-1)*-1,(+B159/D159-1)))</f>
        <v>-4.8418937497796799E-2</v>
      </c>
      <c r="D159" s="51">
        <v>1134.68</v>
      </c>
      <c r="E159" s="51">
        <v>6256.11</v>
      </c>
      <c r="F159" s="12">
        <f t="shared" ref="F159:H180" si="29">IF((+E159/G159)&lt;0,"n.m.",IF(E159&lt;0,(+E159/G159-1)*-1,(+E159/G159-1)))</f>
        <v>2.8916383922477307E-2</v>
      </c>
      <c r="G159" s="51">
        <v>6080.29</v>
      </c>
      <c r="H159" s="12">
        <f t="shared" si="29"/>
        <v>5.0352317661142676E-2</v>
      </c>
      <c r="I159" s="51">
        <v>5788.81</v>
      </c>
      <c r="J159" s="250"/>
      <c r="K159" s="32"/>
      <c r="L159" s="13"/>
      <c r="M159" s="32"/>
      <c r="N159" s="291"/>
      <c r="O159" s="7"/>
      <c r="P159" s="7"/>
      <c r="Q159" s="7"/>
      <c r="R159" s="7"/>
      <c r="S159" s="7"/>
      <c r="T159" s="7"/>
    </row>
    <row r="160" spans="1:20" s="3" customFormat="1">
      <c r="A160" s="11" t="s">
        <v>107</v>
      </c>
      <c r="B160" s="51">
        <v>329.64</v>
      </c>
      <c r="C160" s="250">
        <f t="shared" si="28"/>
        <v>2.0936570862239767E-2</v>
      </c>
      <c r="D160" s="51">
        <v>322.88</v>
      </c>
      <c r="E160" s="51">
        <v>2002.98</v>
      </c>
      <c r="F160" s="12">
        <f t="shared" si="29"/>
        <v>-2.654075884894469E-2</v>
      </c>
      <c r="G160" s="51">
        <v>2057.59</v>
      </c>
      <c r="H160" s="12">
        <f t="shared" si="29"/>
        <v>3.8400201867272443E-2</v>
      </c>
      <c r="I160" s="51">
        <v>1981.5</v>
      </c>
      <c r="J160" s="250"/>
      <c r="K160" s="32"/>
      <c r="L160" s="13"/>
      <c r="M160" s="32"/>
      <c r="N160" s="291"/>
      <c r="O160" s="7"/>
      <c r="P160" s="7"/>
      <c r="Q160" s="7"/>
      <c r="R160" s="7"/>
      <c r="S160" s="7"/>
      <c r="T160" s="7"/>
    </row>
    <row r="161" spans="1:20" s="3" customFormat="1">
      <c r="A161" s="17" t="s">
        <v>108</v>
      </c>
      <c r="B161" s="51">
        <v>99.19</v>
      </c>
      <c r="C161" s="250">
        <f t="shared" si="28"/>
        <v>-0.28537463976945243</v>
      </c>
      <c r="D161" s="51">
        <v>138.79999999999998</v>
      </c>
      <c r="E161" s="51">
        <v>940.76</v>
      </c>
      <c r="F161" s="12">
        <f t="shared" si="29"/>
        <v>0.15173477632770971</v>
      </c>
      <c r="G161" s="51">
        <v>816.82</v>
      </c>
      <c r="H161" s="12">
        <f t="shared" si="29"/>
        <v>3.7495236885558114E-2</v>
      </c>
      <c r="I161" s="51">
        <v>787.30000000000007</v>
      </c>
      <c r="J161" s="250"/>
      <c r="K161" s="32"/>
      <c r="L161" s="13"/>
      <c r="M161" s="32"/>
      <c r="N161" s="291"/>
      <c r="O161" s="7"/>
      <c r="P161" s="7"/>
      <c r="Q161" s="7"/>
      <c r="R161" s="7"/>
      <c r="S161" s="7"/>
      <c r="T161" s="7"/>
    </row>
    <row r="162" spans="1:20" s="3" customFormat="1">
      <c r="A162" s="17" t="s">
        <v>109</v>
      </c>
      <c r="B162" s="51">
        <v>77.33</v>
      </c>
      <c r="C162" s="250">
        <f t="shared" si="28"/>
        <v>0.25372892347600517</v>
      </c>
      <c r="D162" s="51">
        <v>61.68</v>
      </c>
      <c r="E162" s="51">
        <v>764.6</v>
      </c>
      <c r="F162" s="12">
        <f t="shared" si="29"/>
        <v>0.23406178378901843</v>
      </c>
      <c r="G162" s="51">
        <v>619.58000000000004</v>
      </c>
      <c r="H162" s="12">
        <f t="shared" si="29"/>
        <v>-3.8904228585610712E-2</v>
      </c>
      <c r="I162" s="51">
        <v>644.65999999999985</v>
      </c>
      <c r="J162" s="250"/>
      <c r="K162" s="32"/>
      <c r="L162" s="13"/>
      <c r="M162" s="32"/>
      <c r="N162" s="291"/>
      <c r="O162" s="7"/>
      <c r="P162" s="7"/>
      <c r="Q162" s="7"/>
      <c r="R162" s="7"/>
      <c r="S162" s="7"/>
      <c r="T162" s="7"/>
    </row>
    <row r="163" spans="1:20">
      <c r="A163" s="17" t="s">
        <v>110</v>
      </c>
      <c r="B163" s="51">
        <v>45.18</v>
      </c>
      <c r="C163" s="250">
        <f t="shared" si="28"/>
        <v>-0.49688195991091311</v>
      </c>
      <c r="D163" s="51">
        <v>89.8</v>
      </c>
      <c r="E163" s="51">
        <v>594.26</v>
      </c>
      <c r="F163" s="12">
        <f t="shared" si="29"/>
        <v>9.1827735724259618E-2</v>
      </c>
      <c r="G163" s="51">
        <v>544.28</v>
      </c>
      <c r="H163" s="12">
        <f t="shared" si="29"/>
        <v>9.7471468322780863E-2</v>
      </c>
      <c r="I163" s="51">
        <v>495.94</v>
      </c>
      <c r="J163" s="250"/>
      <c r="K163" s="32"/>
      <c r="L163" s="13"/>
      <c r="M163" s="32"/>
      <c r="N163" s="291"/>
    </row>
    <row r="164" spans="1:20">
      <c r="A164" s="17" t="s">
        <v>111</v>
      </c>
      <c r="B164" s="51">
        <v>21.44</v>
      </c>
      <c r="C164" s="250">
        <f t="shared" si="28"/>
        <v>-0.20651369356032556</v>
      </c>
      <c r="D164" s="51">
        <v>27.019999999999996</v>
      </c>
      <c r="E164" s="51">
        <v>230.39</v>
      </c>
      <c r="F164" s="12">
        <f t="shared" si="29"/>
        <v>-0.23729599099546461</v>
      </c>
      <c r="G164" s="51">
        <v>302.07</v>
      </c>
      <c r="H164" s="12">
        <f t="shared" si="29"/>
        <v>-0.46183858898984509</v>
      </c>
      <c r="I164" s="51">
        <v>561.30000000000007</v>
      </c>
      <c r="J164" s="250"/>
      <c r="K164" s="32"/>
      <c r="L164" s="13"/>
      <c r="M164" s="32"/>
      <c r="N164" s="291"/>
    </row>
    <row r="165" spans="1:20">
      <c r="A165" s="17" t="s">
        <v>112</v>
      </c>
      <c r="B165" s="51">
        <v>100.1</v>
      </c>
      <c r="C165" s="250">
        <f t="shared" si="28"/>
        <v>0.14100079790265596</v>
      </c>
      <c r="D165" s="51">
        <v>87.72999999999999</v>
      </c>
      <c r="E165" s="51">
        <v>716.34</v>
      </c>
      <c r="F165" s="12">
        <f t="shared" si="29"/>
        <v>0.67710064851450391</v>
      </c>
      <c r="G165" s="51">
        <v>427.13</v>
      </c>
      <c r="H165" s="12">
        <f t="shared" si="29"/>
        <v>0.25471476411491678</v>
      </c>
      <c r="I165" s="51">
        <v>340.42</v>
      </c>
      <c r="J165" s="250"/>
      <c r="K165" s="32"/>
      <c r="L165" s="13"/>
      <c r="M165" s="32"/>
      <c r="N165" s="291"/>
    </row>
    <row r="166" spans="1:20">
      <c r="A166" s="17" t="s">
        <v>113</v>
      </c>
      <c r="B166" s="51">
        <v>38.36</v>
      </c>
      <c r="C166" s="250">
        <f t="shared" si="28"/>
        <v>-5.6566650270536201E-2</v>
      </c>
      <c r="D166" s="51">
        <v>40.660000000000004</v>
      </c>
      <c r="E166" s="51">
        <v>241.23</v>
      </c>
      <c r="F166" s="12">
        <f t="shared" si="29"/>
        <v>0.33026359325024801</v>
      </c>
      <c r="G166" s="51">
        <v>181.34</v>
      </c>
      <c r="H166" s="12">
        <f t="shared" si="29"/>
        <v>-0.43653481651803749</v>
      </c>
      <c r="I166" s="51">
        <v>321.83000000000004</v>
      </c>
      <c r="J166" s="250"/>
      <c r="K166" s="32"/>
      <c r="L166" s="13"/>
      <c r="M166" s="32"/>
      <c r="N166" s="291"/>
    </row>
    <row r="167" spans="1:20">
      <c r="A167" s="17" t="s">
        <v>114</v>
      </c>
      <c r="B167" s="51">
        <v>11.3</v>
      </c>
      <c r="C167" s="250">
        <f t="shared" si="28"/>
        <v>-7.3010664479081E-2</v>
      </c>
      <c r="D167" s="51">
        <v>12.189999999999998</v>
      </c>
      <c r="E167" s="51">
        <v>68.040000000000006</v>
      </c>
      <c r="F167" s="12">
        <f t="shared" si="29"/>
        <v>-0.43647507039920486</v>
      </c>
      <c r="G167" s="51">
        <v>120.74</v>
      </c>
      <c r="H167" s="12">
        <f t="shared" si="29"/>
        <v>-9.524166354439878E-2</v>
      </c>
      <c r="I167" s="51">
        <v>133.45000000000002</v>
      </c>
      <c r="J167" s="250"/>
      <c r="K167" s="32"/>
      <c r="L167" s="13"/>
      <c r="M167" s="32"/>
      <c r="N167" s="291"/>
    </row>
    <row r="168" spans="1:20">
      <c r="A168" s="17" t="s">
        <v>115</v>
      </c>
      <c r="B168" s="51">
        <v>9.6</v>
      </c>
      <c r="C168" s="250">
        <f t="shared" si="28"/>
        <v>-0.57484499557130209</v>
      </c>
      <c r="D168" s="51">
        <v>22.580000000000002</v>
      </c>
      <c r="E168" s="51">
        <v>98.42</v>
      </c>
      <c r="F168" s="12">
        <f t="shared" si="29"/>
        <v>0.44374358222091836</v>
      </c>
      <c r="G168" s="51">
        <v>68.17</v>
      </c>
      <c r="H168" s="12">
        <f t="shared" si="29"/>
        <v>1.1424332344213584E-2</v>
      </c>
      <c r="I168" s="51">
        <v>67.400000000000006</v>
      </c>
      <c r="J168" s="250"/>
      <c r="K168" s="32"/>
      <c r="L168" s="13"/>
      <c r="M168" s="32"/>
      <c r="N168" s="291"/>
    </row>
    <row r="169" spans="1:20">
      <c r="A169" s="17" t="s">
        <v>116</v>
      </c>
      <c r="B169" s="51">
        <v>10.29</v>
      </c>
      <c r="C169" s="250">
        <f t="shared" si="28"/>
        <v>0.87431693989071024</v>
      </c>
      <c r="D169" s="51">
        <v>5.49</v>
      </c>
      <c r="E169" s="51">
        <v>46.22</v>
      </c>
      <c r="F169" s="12">
        <f t="shared" si="29"/>
        <v>0.21759747102212845</v>
      </c>
      <c r="G169" s="51">
        <v>37.96</v>
      </c>
      <c r="H169" s="12">
        <f t="shared" si="29"/>
        <v>0.21433141394753696</v>
      </c>
      <c r="I169" s="51">
        <v>31.259999999999998</v>
      </c>
      <c r="J169" s="250"/>
      <c r="K169" s="249"/>
      <c r="L169" s="13"/>
      <c r="M169" s="32"/>
      <c r="N169" s="291"/>
    </row>
    <row r="170" spans="1:20">
      <c r="A170" s="17" t="s">
        <v>117</v>
      </c>
      <c r="B170" s="51">
        <v>5.27</v>
      </c>
      <c r="C170" s="250">
        <f t="shared" si="28"/>
        <v>0.25476190476190452</v>
      </c>
      <c r="D170" s="51">
        <v>4.2</v>
      </c>
      <c r="E170" s="51">
        <v>35.21</v>
      </c>
      <c r="F170" s="12">
        <f t="shared" si="29"/>
        <v>-0.10452695829094605</v>
      </c>
      <c r="G170" s="51">
        <v>39.32</v>
      </c>
      <c r="H170" s="12">
        <f t="shared" si="29"/>
        <v>0.98887202832574572</v>
      </c>
      <c r="I170" s="51">
        <v>19.770000000000003</v>
      </c>
      <c r="J170" s="250"/>
      <c r="K170" s="251"/>
      <c r="L170" s="13"/>
      <c r="M170" s="32"/>
      <c r="N170" s="291"/>
    </row>
    <row r="171" spans="1:20">
      <c r="A171" s="17" t="s">
        <v>118</v>
      </c>
      <c r="B171" s="51">
        <v>70.61</v>
      </c>
      <c r="C171" s="250">
        <f t="shared" si="28"/>
        <v>6.4846931081285142E-2</v>
      </c>
      <c r="D171" s="51">
        <v>66.309999999999988</v>
      </c>
      <c r="E171" s="51">
        <v>342.71</v>
      </c>
      <c r="F171" s="12">
        <f t="shared" si="29"/>
        <v>-4.4444444444444398E-2</v>
      </c>
      <c r="G171" s="51">
        <v>358.65</v>
      </c>
      <c r="H171" s="12">
        <f t="shared" si="29"/>
        <v>-7.138418517943157E-2</v>
      </c>
      <c r="I171" s="51">
        <v>386.22</v>
      </c>
      <c r="J171" s="250"/>
      <c r="L171" s="13"/>
      <c r="M171" s="32"/>
      <c r="N171" s="291"/>
    </row>
    <row r="172" spans="1:20">
      <c r="A172" s="11" t="s">
        <v>119</v>
      </c>
      <c r="B172" s="25">
        <v>53.3</v>
      </c>
      <c r="C172" s="250">
        <f t="shared" si="28"/>
        <v>-0.20837665230952029</v>
      </c>
      <c r="D172" s="25">
        <v>67.33</v>
      </c>
      <c r="E172" s="25">
        <v>301.67</v>
      </c>
      <c r="F172" s="12">
        <f t="shared" si="29"/>
        <v>-6.9120868948066683E-2</v>
      </c>
      <c r="G172" s="25">
        <v>324.07</v>
      </c>
      <c r="H172" s="12">
        <f t="shared" si="29"/>
        <v>-0.18913576540059052</v>
      </c>
      <c r="I172" s="25">
        <v>399.66</v>
      </c>
      <c r="J172" s="250"/>
      <c r="L172" s="13"/>
      <c r="N172" s="291"/>
    </row>
    <row r="173" spans="1:20">
      <c r="A173" s="11" t="s">
        <v>120</v>
      </c>
      <c r="B173" s="51">
        <v>38.1</v>
      </c>
      <c r="C173" s="250">
        <f t="shared" si="28"/>
        <v>-0.35707053661829213</v>
      </c>
      <c r="D173" s="51">
        <v>59.259999999999991</v>
      </c>
      <c r="E173" s="51">
        <v>239.7</v>
      </c>
      <c r="F173" s="12">
        <f t="shared" si="29"/>
        <v>-0.11491027250572339</v>
      </c>
      <c r="G173" s="51">
        <v>270.82</v>
      </c>
      <c r="H173" s="12">
        <f t="shared" si="29"/>
        <v>-0.14085400672546156</v>
      </c>
      <c r="I173" s="51">
        <v>315.21999999999997</v>
      </c>
      <c r="J173" s="250"/>
      <c r="K173" s="252"/>
      <c r="L173" s="13"/>
      <c r="M173" s="32"/>
      <c r="N173" s="291"/>
    </row>
    <row r="174" spans="1:20" s="3" customFormat="1">
      <c r="A174" s="11" t="s">
        <v>121</v>
      </c>
      <c r="B174" s="51">
        <v>15.88</v>
      </c>
      <c r="C174" s="250">
        <f t="shared" si="28"/>
        <v>-0.67264481550195832</v>
      </c>
      <c r="D174" s="51">
        <v>48.51</v>
      </c>
      <c r="E174" s="51">
        <v>187.8</v>
      </c>
      <c r="F174" s="12">
        <f t="shared" si="29"/>
        <v>4.8576214405360307E-2</v>
      </c>
      <c r="G174" s="51">
        <v>179.1</v>
      </c>
      <c r="H174" s="12">
        <f t="shared" si="29"/>
        <v>6.4044676806083611E-2</v>
      </c>
      <c r="I174" s="51">
        <v>168.32</v>
      </c>
      <c r="J174" s="250"/>
      <c r="K174" s="32"/>
      <c r="L174" s="13"/>
      <c r="M174" s="32"/>
      <c r="N174" s="291"/>
      <c r="O174" s="7"/>
      <c r="P174" s="7"/>
      <c r="Q174" s="7"/>
      <c r="R174" s="7"/>
      <c r="S174" s="7"/>
      <c r="T174" s="7"/>
    </row>
    <row r="175" spans="1:20">
      <c r="A175" s="11" t="s">
        <v>122</v>
      </c>
      <c r="B175" s="51">
        <v>59.19</v>
      </c>
      <c r="C175" s="250">
        <f t="shared" si="28"/>
        <v>0.28311294168653811</v>
      </c>
      <c r="D175" s="51">
        <v>46.129999999999995</v>
      </c>
      <c r="E175" s="51">
        <v>219.28</v>
      </c>
      <c r="F175" s="12">
        <f t="shared" si="29"/>
        <v>0.11445415734905473</v>
      </c>
      <c r="G175" s="51">
        <v>196.76</v>
      </c>
      <c r="H175" s="12">
        <f t="shared" si="29"/>
        <v>0.29806043013590178</v>
      </c>
      <c r="I175" s="51">
        <v>151.58000000000001</v>
      </c>
      <c r="J175" s="250"/>
      <c r="K175" s="32"/>
      <c r="L175" s="13"/>
      <c r="M175" s="32"/>
      <c r="N175" s="291"/>
    </row>
    <row r="176" spans="1:20">
      <c r="A176" s="11" t="s">
        <v>123</v>
      </c>
      <c r="B176" s="51">
        <v>25.93</v>
      </c>
      <c r="C176" s="250">
        <f t="shared" si="28"/>
        <v>-0.13996683250414588</v>
      </c>
      <c r="D176" s="51">
        <v>30.15</v>
      </c>
      <c r="E176" s="51">
        <v>167.45</v>
      </c>
      <c r="F176" s="12">
        <f t="shared" si="29"/>
        <v>-1.5057937768366614E-2</v>
      </c>
      <c r="G176" s="51">
        <v>170.01</v>
      </c>
      <c r="H176" s="12">
        <f t="shared" si="29"/>
        <v>0.36302413212539064</v>
      </c>
      <c r="I176" s="51">
        <v>124.73</v>
      </c>
      <c r="J176" s="250"/>
      <c r="K176" s="32"/>
      <c r="L176" s="13"/>
      <c r="M176" s="32"/>
      <c r="N176" s="291"/>
    </row>
    <row r="177" spans="1:20">
      <c r="A177" s="11" t="s">
        <v>124</v>
      </c>
      <c r="B177" s="51">
        <v>64.91</v>
      </c>
      <c r="C177" s="250">
        <f t="shared" si="28"/>
        <v>-0.16909882232462892</v>
      </c>
      <c r="D177" s="51">
        <v>78.12</v>
      </c>
      <c r="E177" s="51">
        <v>314.49</v>
      </c>
      <c r="F177" s="12">
        <f t="shared" si="29"/>
        <v>0.15778816772815962</v>
      </c>
      <c r="G177" s="51">
        <v>271.63</v>
      </c>
      <c r="H177" s="12">
        <f t="shared" si="29"/>
        <v>-0.15940459243671468</v>
      </c>
      <c r="I177" s="51">
        <v>323.14</v>
      </c>
      <c r="J177" s="250"/>
      <c r="K177" s="32"/>
      <c r="L177" s="13"/>
      <c r="M177" s="32"/>
      <c r="N177" s="291"/>
    </row>
    <row r="178" spans="1:20">
      <c r="A178" s="11" t="s">
        <v>125</v>
      </c>
      <c r="B178" s="51">
        <v>57.18</v>
      </c>
      <c r="C178" s="250">
        <f t="shared" si="28"/>
        <v>-0.27519330713651924</v>
      </c>
      <c r="D178" s="51">
        <v>78.89</v>
      </c>
      <c r="E178" s="51">
        <v>309.93</v>
      </c>
      <c r="F178" s="12">
        <f t="shared" si="29"/>
        <v>0.21655675930287344</v>
      </c>
      <c r="G178" s="51">
        <v>254.76</v>
      </c>
      <c r="H178" s="12">
        <f t="shared" si="29"/>
        <v>-2.9818347994973071E-2</v>
      </c>
      <c r="I178" s="51">
        <v>262.58999999999997</v>
      </c>
      <c r="J178" s="250"/>
      <c r="K178" s="32"/>
      <c r="L178" s="36"/>
      <c r="M178" s="32"/>
      <c r="N178" s="291"/>
    </row>
    <row r="179" spans="1:20">
      <c r="A179" s="11" t="s">
        <v>126</v>
      </c>
      <c r="B179" s="52">
        <v>21.74</v>
      </c>
      <c r="C179" s="250">
        <f t="shared" si="28"/>
        <v>-0.29961340206185572</v>
      </c>
      <c r="D179" s="52">
        <v>31.04</v>
      </c>
      <c r="E179" s="52">
        <v>120.37</v>
      </c>
      <c r="F179" s="12">
        <f t="shared" si="29"/>
        <v>-0.23816455696202532</v>
      </c>
      <c r="G179" s="52">
        <v>158</v>
      </c>
      <c r="H179" s="12">
        <f t="shared" si="29"/>
        <v>-4.1552926903245302E-2</v>
      </c>
      <c r="I179" s="52">
        <v>164.85</v>
      </c>
      <c r="J179" s="250"/>
      <c r="K179" s="39"/>
      <c r="L179" s="13"/>
      <c r="M179" s="39"/>
      <c r="N179" s="291"/>
    </row>
    <row r="180" spans="1:20">
      <c r="A180" s="11" t="s">
        <v>127</v>
      </c>
      <c r="B180" s="52">
        <v>22.65</v>
      </c>
      <c r="C180" s="250">
        <f t="shared" si="28"/>
        <v>0.52115513767629285</v>
      </c>
      <c r="D180" s="52">
        <v>14.889999999999999</v>
      </c>
      <c r="E180" s="52">
        <v>91.8</v>
      </c>
      <c r="F180" s="12">
        <f t="shared" si="29"/>
        <v>5.6265101829478859E-2</v>
      </c>
      <c r="G180" s="52">
        <v>86.91</v>
      </c>
      <c r="H180" s="12">
        <f t="shared" si="29"/>
        <v>-0.15719550038789765</v>
      </c>
      <c r="I180" s="52">
        <v>103.12</v>
      </c>
      <c r="J180" s="250"/>
      <c r="K180" s="39"/>
      <c r="L180" s="13"/>
      <c r="M180" s="39"/>
      <c r="N180" s="291"/>
    </row>
    <row r="181" spans="1:20">
      <c r="A181" s="253" t="s">
        <v>106</v>
      </c>
      <c r="B181" s="53">
        <f>B159</f>
        <v>1079.74</v>
      </c>
      <c r="C181" s="250">
        <f t="shared" si="28"/>
        <v>-4.8418937497796799E-2</v>
      </c>
      <c r="D181" s="53">
        <f>D159</f>
        <v>1134.68</v>
      </c>
      <c r="E181" s="281">
        <f>E159</f>
        <v>6256.11</v>
      </c>
      <c r="F181" s="12">
        <f t="shared" ref="F181:H186" si="30">IF((+E181/G181)&lt;0,"n.m.",IF(E181&lt;0,(+E181/G181-1)*-1,(+E181/G181-1)))</f>
        <v>2.8916383922477307E-2</v>
      </c>
      <c r="G181" s="53">
        <f>G159</f>
        <v>6080.29</v>
      </c>
      <c r="H181" s="12">
        <f t="shared" si="30"/>
        <v>5.0352317661142676E-2</v>
      </c>
      <c r="I181" s="53">
        <f>I159</f>
        <v>5788.81</v>
      </c>
      <c r="J181" s="23"/>
      <c r="K181" s="39"/>
      <c r="L181" s="13"/>
      <c r="M181" s="39"/>
      <c r="N181" s="291"/>
    </row>
    <row r="182" spans="1:20">
      <c r="A182" s="253" t="s">
        <v>107</v>
      </c>
      <c r="B182" s="53">
        <f>B160</f>
        <v>329.64</v>
      </c>
      <c r="C182" s="250">
        <f t="shared" si="28"/>
        <v>2.0936570862239767E-2</v>
      </c>
      <c r="D182" s="53">
        <f>D160</f>
        <v>322.88</v>
      </c>
      <c r="E182" s="281">
        <f>E160</f>
        <v>2002.98</v>
      </c>
      <c r="F182" s="12">
        <f t="shared" si="30"/>
        <v>-2.654075884894469E-2</v>
      </c>
      <c r="G182" s="53">
        <f>G160</f>
        <v>2057.59</v>
      </c>
      <c r="H182" s="12">
        <f t="shared" si="30"/>
        <v>3.8400201867272443E-2</v>
      </c>
      <c r="I182" s="53">
        <f>I160</f>
        <v>1981.5</v>
      </c>
      <c r="J182" s="23"/>
      <c r="K182" s="39"/>
      <c r="L182" s="13"/>
      <c r="M182" s="39"/>
      <c r="N182" s="291"/>
    </row>
    <row r="183" spans="1:20" s="3" customFormat="1">
      <c r="A183" s="253" t="s">
        <v>128</v>
      </c>
      <c r="B183" s="25">
        <f>B161+B162+B163+B164+B165+B166+B167+B168+B169+B170</f>
        <v>418.06000000000006</v>
      </c>
      <c r="C183" s="250">
        <f t="shared" si="28"/>
        <v>-0.14707742527797596</v>
      </c>
      <c r="D183" s="25">
        <f>D161+D162+D163+D164+D165+D166+D167+D168+D169+D170</f>
        <v>490.15</v>
      </c>
      <c r="E183" s="28">
        <f>E161+E162+E163+E164+E165+E166+E167+E168+E169+E170</f>
        <v>3735.47</v>
      </c>
      <c r="F183" s="12">
        <f t="shared" si="30"/>
        <v>0.18308043618028691</v>
      </c>
      <c r="G183" s="25">
        <f>G161+G162+G163+G164+G165+G166+G167+G168+G169+G170</f>
        <v>3157.4100000000003</v>
      </c>
      <c r="H183" s="12">
        <f t="shared" si="30"/>
        <v>-7.2258640801802998E-2</v>
      </c>
      <c r="I183" s="25">
        <f>I161+I162+I163+I164+I165+I166+I167+I168+I169+I170</f>
        <v>3403.3300000000004</v>
      </c>
      <c r="J183" s="23"/>
      <c r="K183" s="21"/>
      <c r="L183" s="13"/>
      <c r="M183" s="21"/>
      <c r="N183" s="291"/>
      <c r="O183" s="7"/>
      <c r="P183" s="7"/>
      <c r="Q183" s="7"/>
      <c r="R183" s="7"/>
      <c r="S183" s="7"/>
      <c r="T183" s="7"/>
    </row>
    <row r="184" spans="1:20" s="3" customFormat="1">
      <c r="A184" s="253" t="s">
        <v>129</v>
      </c>
      <c r="B184" s="25">
        <f>B171+B172+B173+B174+B175+B176</f>
        <v>263.01</v>
      </c>
      <c r="C184" s="250">
        <f t="shared" si="28"/>
        <v>-0.1721174730082784</v>
      </c>
      <c r="D184" s="25">
        <f>D171+D172+D173+D174+D175+D176</f>
        <v>317.68999999999994</v>
      </c>
      <c r="E184" s="28">
        <f>E171+E172+E173+E174+E175+E176</f>
        <v>1458.61</v>
      </c>
      <c r="F184" s="12">
        <f t="shared" si="30"/>
        <v>-2.7210702876464765E-2</v>
      </c>
      <c r="G184" s="25">
        <f>G171+G172+G173+G174+G175+G176</f>
        <v>1499.4099999999999</v>
      </c>
      <c r="H184" s="12">
        <f t="shared" si="30"/>
        <v>-2.9966423631552885E-2</v>
      </c>
      <c r="I184" s="25">
        <f>I171+I172+I173+I174+I175+I176</f>
        <v>1545.73</v>
      </c>
      <c r="J184" s="23"/>
      <c r="K184" s="21"/>
      <c r="L184" s="13"/>
      <c r="M184" s="21"/>
      <c r="N184" s="291"/>
      <c r="O184" s="7"/>
      <c r="P184" s="7"/>
      <c r="Q184" s="7"/>
      <c r="R184" s="7"/>
      <c r="S184" s="7"/>
      <c r="T184" s="7"/>
    </row>
    <row r="185" spans="1:20">
      <c r="A185" s="253" t="s">
        <v>130</v>
      </c>
      <c r="B185" s="25">
        <f>B177+B178+B179+B180</f>
        <v>166.48000000000002</v>
      </c>
      <c r="C185" s="250">
        <f t="shared" si="28"/>
        <v>-0.17965901251601435</v>
      </c>
      <c r="D185" s="25">
        <f>D177+D178+D179+D180</f>
        <v>202.93999999999997</v>
      </c>
      <c r="E185" s="28">
        <f>E177+E178+E179+E180</f>
        <v>836.59</v>
      </c>
      <c r="F185" s="12">
        <f t="shared" si="30"/>
        <v>8.4649293400752113E-2</v>
      </c>
      <c r="G185" s="25">
        <f>G177+G178+G179+G180</f>
        <v>771.3</v>
      </c>
      <c r="H185" s="12">
        <f t="shared" si="30"/>
        <v>-9.6521026121588527E-2</v>
      </c>
      <c r="I185" s="25">
        <f>I177+I178+I179+I180</f>
        <v>853.7</v>
      </c>
      <c r="J185" s="23"/>
      <c r="K185" s="21"/>
      <c r="L185" s="13"/>
      <c r="M185" s="21"/>
      <c r="N185" s="291"/>
    </row>
    <row r="186" spans="1:20" s="3" customFormat="1">
      <c r="A186" s="3" t="s">
        <v>134</v>
      </c>
      <c r="B186" s="10">
        <f>SUM(B181:B185)</f>
        <v>2256.9299999999998</v>
      </c>
      <c r="C186" s="275">
        <f t="shared" si="28"/>
        <v>-8.5648654561365278E-2</v>
      </c>
      <c r="D186" s="10">
        <f>SUM(D181:D185)</f>
        <v>2468.34</v>
      </c>
      <c r="E186" s="282">
        <f>SUM(E181:E185)</f>
        <v>14289.76</v>
      </c>
      <c r="F186" s="4">
        <f t="shared" si="30"/>
        <v>5.3351024620374554E-2</v>
      </c>
      <c r="G186" s="10">
        <f>SUM(G181:G185)</f>
        <v>13566</v>
      </c>
      <c r="H186" s="4">
        <f t="shared" si="30"/>
        <v>-5.208843688274678E-4</v>
      </c>
      <c r="I186" s="10">
        <f>SUM(I181:I185)</f>
        <v>13573.070000000002</v>
      </c>
      <c r="J186" s="6">
        <f>(I186-K186)/K186</f>
        <v>-3.3436115819007919E-2</v>
      </c>
      <c r="K186" s="10">
        <v>14042.600000000002</v>
      </c>
      <c r="L186" s="6">
        <v>-1.9771950704495715E-2</v>
      </c>
      <c r="M186" s="10">
        <v>14325.850000000002</v>
      </c>
      <c r="N186" s="291"/>
      <c r="O186" s="7"/>
      <c r="P186" s="7"/>
      <c r="Q186" s="7"/>
      <c r="R186" s="7"/>
      <c r="S186" s="7"/>
      <c r="T186" s="7"/>
    </row>
    <row r="187" spans="1:20">
      <c r="C187" s="250"/>
      <c r="F187" s="13"/>
      <c r="H187" s="13"/>
      <c r="J187" s="13"/>
      <c r="L187" s="13"/>
    </row>
    <row r="188" spans="1:20">
      <c r="A188" s="10" t="s">
        <v>5</v>
      </c>
      <c r="B188" s="5"/>
      <c r="C188" s="250"/>
      <c r="D188" s="5"/>
      <c r="E188" s="5"/>
      <c r="F188" s="13"/>
      <c r="G188" s="5"/>
      <c r="H188" s="13"/>
      <c r="I188" s="5"/>
      <c r="J188" s="13"/>
      <c r="K188" s="5"/>
      <c r="L188" s="13"/>
      <c r="M188" s="5"/>
    </row>
    <row r="189" spans="1:20" s="3" customFormat="1">
      <c r="A189" s="11" t="s">
        <v>106</v>
      </c>
      <c r="B189" s="51">
        <v>5439.75</v>
      </c>
      <c r="C189" s="250">
        <f t="shared" si="28"/>
        <v>2.9064851090877752E-2</v>
      </c>
      <c r="D189" s="51">
        <v>5286.1100000000006</v>
      </c>
      <c r="E189" s="51">
        <v>4876.16</v>
      </c>
      <c r="F189" s="250">
        <f t="shared" ref="F189:H216" si="31">IF((+E189/G189)&lt;0,"n.m.",IF(E189&lt;0,(+E189/G189-1)*-1,(+E189/G189-1)))</f>
        <v>-1.2519289264031008E-2</v>
      </c>
      <c r="G189" s="51">
        <v>4937.9799999999996</v>
      </c>
      <c r="H189" s="12">
        <f t="shared" si="31"/>
        <v>-2.2642794089122509E-2</v>
      </c>
      <c r="I189" s="51">
        <v>5052.38</v>
      </c>
      <c r="J189" s="13"/>
      <c r="K189" s="32"/>
      <c r="L189" s="13"/>
      <c r="M189" s="32"/>
      <c r="N189" s="291"/>
      <c r="O189" s="7"/>
      <c r="P189" s="7"/>
      <c r="Q189" s="7"/>
      <c r="R189" s="7"/>
      <c r="S189" s="7"/>
      <c r="T189" s="7"/>
    </row>
    <row r="190" spans="1:20" s="3" customFormat="1">
      <c r="A190" s="11" t="s">
        <v>107</v>
      </c>
      <c r="B190" s="51">
        <v>1772.78</v>
      </c>
      <c r="C190" s="250">
        <f t="shared" si="28"/>
        <v>7.5800882351156451E-2</v>
      </c>
      <c r="D190" s="51">
        <v>1647.87</v>
      </c>
      <c r="E190" s="51">
        <v>1733.08</v>
      </c>
      <c r="F190" s="250">
        <f t="shared" si="31"/>
        <v>0.12413569436336513</v>
      </c>
      <c r="G190" s="51">
        <v>1541.7</v>
      </c>
      <c r="H190" s="12">
        <f t="shared" si="31"/>
        <v>2.5543803632009698E-2</v>
      </c>
      <c r="I190" s="51">
        <v>1503.3</v>
      </c>
      <c r="J190" s="13"/>
      <c r="K190" s="251"/>
      <c r="L190" s="13"/>
      <c r="M190" s="32"/>
      <c r="N190" s="291"/>
      <c r="O190" s="7"/>
      <c r="P190" s="7"/>
      <c r="Q190" s="7"/>
      <c r="R190" s="7"/>
      <c r="S190" s="7"/>
      <c r="T190" s="7"/>
    </row>
    <row r="191" spans="1:20" s="3" customFormat="1">
      <c r="A191" s="17" t="s">
        <v>108</v>
      </c>
      <c r="B191" s="51">
        <v>1134.03</v>
      </c>
      <c r="C191" s="250">
        <f t="shared" si="28"/>
        <v>0.23714612992963513</v>
      </c>
      <c r="D191" s="51">
        <v>916.64999999999986</v>
      </c>
      <c r="E191" s="51">
        <v>849.05</v>
      </c>
      <c r="F191" s="250">
        <f t="shared" si="31"/>
        <v>4.6502271866717404E-3</v>
      </c>
      <c r="G191" s="51">
        <v>845.12</v>
      </c>
      <c r="H191" s="12">
        <f t="shared" si="31"/>
        <v>0.39783985841644776</v>
      </c>
      <c r="I191" s="51">
        <v>604.58999999999992</v>
      </c>
      <c r="J191" s="13"/>
      <c r="K191" s="32"/>
      <c r="L191" s="13"/>
      <c r="M191" s="32"/>
      <c r="N191" s="291"/>
      <c r="O191" s="7"/>
      <c r="P191" s="7"/>
      <c r="Q191" s="7"/>
      <c r="R191" s="7"/>
      <c r="S191" s="7"/>
      <c r="T191" s="7"/>
    </row>
    <row r="192" spans="1:20" s="3" customFormat="1">
      <c r="A192" s="17" t="s">
        <v>109</v>
      </c>
      <c r="B192" s="51">
        <v>299.31</v>
      </c>
      <c r="C192" s="250">
        <f t="shared" si="28"/>
        <v>-0.22200561447286327</v>
      </c>
      <c r="D192" s="51">
        <v>384.71999999999997</v>
      </c>
      <c r="E192" s="51">
        <v>323.41000000000003</v>
      </c>
      <c r="F192" s="250">
        <f t="shared" si="31"/>
        <v>-6.9618250338022492E-2</v>
      </c>
      <c r="G192" s="51">
        <v>347.61</v>
      </c>
      <c r="H192" s="12">
        <f t="shared" si="31"/>
        <v>-4.5787696615333995E-2</v>
      </c>
      <c r="I192" s="51">
        <v>364.29</v>
      </c>
      <c r="J192" s="13"/>
      <c r="K192" s="32"/>
      <c r="L192" s="13"/>
      <c r="M192" s="32"/>
      <c r="N192" s="291"/>
      <c r="O192" s="7"/>
      <c r="P192" s="7"/>
      <c r="Q192" s="7"/>
      <c r="R192" s="7"/>
      <c r="S192" s="7"/>
      <c r="T192" s="7"/>
    </row>
    <row r="193" spans="1:20">
      <c r="A193" s="17" t="s">
        <v>110</v>
      </c>
      <c r="B193" s="51">
        <v>198.35</v>
      </c>
      <c r="C193" s="250">
        <f t="shared" si="28"/>
        <v>-0.61351103836636078</v>
      </c>
      <c r="D193" s="51">
        <v>513.21</v>
      </c>
      <c r="E193" s="51">
        <v>136.68</v>
      </c>
      <c r="F193" s="250">
        <f t="shared" si="31"/>
        <v>-0.7308972061979484</v>
      </c>
      <c r="G193" s="51">
        <v>507.91</v>
      </c>
      <c r="H193" s="12">
        <f t="shared" si="31"/>
        <v>-0.11357964362379791</v>
      </c>
      <c r="I193" s="51">
        <v>572.99</v>
      </c>
      <c r="J193" s="13"/>
      <c r="K193" s="32"/>
      <c r="L193" s="13"/>
      <c r="M193" s="32"/>
      <c r="N193" s="291"/>
    </row>
    <row r="194" spans="1:20">
      <c r="A194" s="17" t="s">
        <v>111</v>
      </c>
      <c r="B194" s="51">
        <v>382.46</v>
      </c>
      <c r="C194" s="250">
        <f t="shared" si="28"/>
        <v>-0.40419366899302089</v>
      </c>
      <c r="D194" s="51">
        <v>641.91999999999996</v>
      </c>
      <c r="E194" s="51">
        <v>389.81</v>
      </c>
      <c r="F194" s="250">
        <f t="shared" si="31"/>
        <v>-0.46118652033284502</v>
      </c>
      <c r="G194" s="51">
        <v>723.46</v>
      </c>
      <c r="H194" s="12">
        <f t="shared" si="31"/>
        <v>1.2794757073539609</v>
      </c>
      <c r="I194" s="51">
        <v>317.38</v>
      </c>
      <c r="J194" s="13"/>
      <c r="K194" s="32"/>
      <c r="L194" s="13"/>
      <c r="M194" s="32"/>
      <c r="N194" s="291"/>
    </row>
    <row r="195" spans="1:20">
      <c r="A195" s="17" t="s">
        <v>112</v>
      </c>
      <c r="B195" s="51">
        <v>342.06</v>
      </c>
      <c r="C195" s="250">
        <f t="shared" si="28"/>
        <v>-0.44874377528162313</v>
      </c>
      <c r="D195" s="51">
        <v>620.51</v>
      </c>
      <c r="E195" s="51">
        <v>355.19</v>
      </c>
      <c r="F195" s="250">
        <f t="shared" si="31"/>
        <v>-0.35805168986083491</v>
      </c>
      <c r="G195" s="51">
        <v>553.29999999999995</v>
      </c>
      <c r="H195" s="12">
        <f t="shared" si="31"/>
        <v>0.24292389253302171</v>
      </c>
      <c r="I195" s="51">
        <v>445.16</v>
      </c>
      <c r="J195" s="13"/>
      <c r="K195" s="32"/>
      <c r="L195" s="13"/>
      <c r="M195" s="32"/>
      <c r="N195" s="291"/>
    </row>
    <row r="196" spans="1:20">
      <c r="A196" s="17" t="s">
        <v>113</v>
      </c>
      <c r="B196" s="51">
        <v>392.14</v>
      </c>
      <c r="C196" s="250">
        <f t="shared" si="28"/>
        <v>-0.23264778975793987</v>
      </c>
      <c r="D196" s="51">
        <v>511.03000000000003</v>
      </c>
      <c r="E196" s="51">
        <v>392.96</v>
      </c>
      <c r="F196" s="250">
        <f t="shared" si="31"/>
        <v>-0.21127212877845136</v>
      </c>
      <c r="G196" s="51">
        <v>498.22</v>
      </c>
      <c r="H196" s="12">
        <f t="shared" si="31"/>
        <v>0.61591852620653875</v>
      </c>
      <c r="I196" s="51">
        <v>308.32</v>
      </c>
      <c r="J196" s="13"/>
      <c r="K196" s="32"/>
      <c r="L196" s="13"/>
      <c r="M196" s="32"/>
      <c r="N196" s="291"/>
    </row>
    <row r="197" spans="1:20">
      <c r="A197" s="17" t="s">
        <v>114</v>
      </c>
      <c r="B197" s="51">
        <v>53.41</v>
      </c>
      <c r="C197" s="250">
        <f t="shared" si="28"/>
        <v>-6.001407954945448E-2</v>
      </c>
      <c r="D197" s="51">
        <v>56.82</v>
      </c>
      <c r="E197" s="51">
        <v>54.78</v>
      </c>
      <c r="F197" s="250">
        <f t="shared" si="31"/>
        <v>4.0851225536766123E-2</v>
      </c>
      <c r="G197" s="51">
        <v>52.63</v>
      </c>
      <c r="H197" s="12">
        <f t="shared" si="31"/>
        <v>-0.31265508684863519</v>
      </c>
      <c r="I197" s="51">
        <v>76.569999999999993</v>
      </c>
      <c r="J197" s="13"/>
      <c r="K197" s="32"/>
      <c r="L197" s="13"/>
      <c r="M197" s="32"/>
      <c r="N197" s="291"/>
    </row>
    <row r="198" spans="1:20">
      <c r="A198" s="17" t="s">
        <v>115</v>
      </c>
      <c r="B198" s="51">
        <v>57.24</v>
      </c>
      <c r="C198" s="250">
        <f t="shared" si="28"/>
        <v>-0.40898296334537942</v>
      </c>
      <c r="D198" s="51">
        <v>96.85</v>
      </c>
      <c r="E198" s="51">
        <v>56.71</v>
      </c>
      <c r="F198" s="250">
        <f t="shared" si="31"/>
        <v>-0.49765258215962438</v>
      </c>
      <c r="G198" s="51">
        <v>112.89</v>
      </c>
      <c r="H198" s="12">
        <f t="shared" si="31"/>
        <v>-0.24950139609094546</v>
      </c>
      <c r="I198" s="51">
        <v>150.42000000000002</v>
      </c>
      <c r="J198" s="13"/>
      <c r="K198" s="32"/>
      <c r="L198" s="13"/>
      <c r="M198" s="32"/>
      <c r="N198" s="291"/>
    </row>
    <row r="199" spans="1:20">
      <c r="A199" s="17" t="s">
        <v>116</v>
      </c>
      <c r="B199" s="51">
        <v>130.54</v>
      </c>
      <c r="C199" s="250">
        <f t="shared" si="28"/>
        <v>2.8203102136376934</v>
      </c>
      <c r="D199" s="51">
        <v>34.17</v>
      </c>
      <c r="E199" s="51">
        <v>93.71</v>
      </c>
      <c r="F199" s="250">
        <f t="shared" si="31"/>
        <v>2.909470171047142</v>
      </c>
      <c r="G199" s="51">
        <v>23.97</v>
      </c>
      <c r="H199" s="12">
        <f t="shared" si="31"/>
        <v>0.11957029425502097</v>
      </c>
      <c r="I199" s="51">
        <v>21.41</v>
      </c>
      <c r="J199" s="13"/>
      <c r="K199" s="32"/>
      <c r="L199" s="13"/>
      <c r="M199" s="32"/>
      <c r="N199" s="291"/>
    </row>
    <row r="200" spans="1:20">
      <c r="A200" s="17" t="s">
        <v>117</v>
      </c>
      <c r="B200" s="51">
        <v>41.69</v>
      </c>
      <c r="C200" s="250">
        <f t="shared" si="28"/>
        <v>1.6983818770226535</v>
      </c>
      <c r="D200" s="51">
        <v>15.45</v>
      </c>
      <c r="E200" s="51">
        <v>26.77</v>
      </c>
      <c r="F200" s="250">
        <f t="shared" si="31"/>
        <v>0.86550522648083628</v>
      </c>
      <c r="G200" s="51">
        <v>14.35</v>
      </c>
      <c r="H200" s="12">
        <f t="shared" si="31"/>
        <v>-0.58894299627613855</v>
      </c>
      <c r="I200" s="51">
        <v>34.909999999999997</v>
      </c>
      <c r="J200" s="13"/>
      <c r="K200" s="32"/>
      <c r="L200" s="13"/>
      <c r="M200" s="32"/>
      <c r="N200" s="291"/>
    </row>
    <row r="201" spans="1:20">
      <c r="A201" s="17" t="s">
        <v>118</v>
      </c>
      <c r="B201" s="51">
        <v>372.15</v>
      </c>
      <c r="C201" s="250">
        <f t="shared" si="28"/>
        <v>0.38089053803339512</v>
      </c>
      <c r="D201" s="51">
        <v>269.5</v>
      </c>
      <c r="E201" s="51">
        <v>307.39999999999998</v>
      </c>
      <c r="F201" s="250">
        <f t="shared" si="31"/>
        <v>0.81732190363582591</v>
      </c>
      <c r="G201" s="51">
        <v>169.15</v>
      </c>
      <c r="H201" s="12">
        <f t="shared" si="31"/>
        <v>-0.22140391254315306</v>
      </c>
      <c r="I201" s="51">
        <v>217.25</v>
      </c>
      <c r="J201" s="13"/>
      <c r="L201" s="13"/>
      <c r="M201" s="32"/>
      <c r="N201" s="291"/>
    </row>
    <row r="202" spans="1:20">
      <c r="A202" s="11" t="s">
        <v>119</v>
      </c>
      <c r="B202" s="25">
        <v>389.88</v>
      </c>
      <c r="C202" s="250">
        <f t="shared" si="28"/>
        <v>4.8036343109056245E-2</v>
      </c>
      <c r="D202" s="25">
        <v>372.01</v>
      </c>
      <c r="E202" s="25">
        <v>347.41</v>
      </c>
      <c r="F202" s="250">
        <f t="shared" si="31"/>
        <v>-0.12761469502548772</v>
      </c>
      <c r="G202" s="25">
        <v>398.23</v>
      </c>
      <c r="H202" s="12">
        <f t="shared" si="31"/>
        <v>0.13491407563623925</v>
      </c>
      <c r="I202" s="25">
        <v>350.89000000000004</v>
      </c>
      <c r="J202" s="13"/>
      <c r="L202" s="13"/>
      <c r="N202" s="291"/>
    </row>
    <row r="203" spans="1:20">
      <c r="A203" s="11" t="s">
        <v>120</v>
      </c>
      <c r="B203" s="51">
        <v>313.18</v>
      </c>
      <c r="C203" s="250">
        <f t="shared" si="28"/>
        <v>5.9400581828022547E-2</v>
      </c>
      <c r="D203" s="51">
        <v>295.62</v>
      </c>
      <c r="E203" s="51">
        <v>277.63</v>
      </c>
      <c r="F203" s="250">
        <f t="shared" si="31"/>
        <v>-0.10747122741593262</v>
      </c>
      <c r="G203" s="51">
        <v>311.06</v>
      </c>
      <c r="H203" s="12">
        <f t="shared" si="31"/>
        <v>0.15682993045483284</v>
      </c>
      <c r="I203" s="51">
        <v>268.89</v>
      </c>
      <c r="J203" s="13"/>
      <c r="K203" s="32"/>
      <c r="L203" s="13"/>
      <c r="M203" s="32"/>
      <c r="N203" s="291"/>
    </row>
    <row r="204" spans="1:20" s="3" customFormat="1">
      <c r="A204" s="11" t="s">
        <v>121</v>
      </c>
      <c r="B204" s="51">
        <v>1004.22</v>
      </c>
      <c r="C204" s="250">
        <f t="shared" si="28"/>
        <v>-0.14618759352469057</v>
      </c>
      <c r="D204" s="51">
        <v>1176.1600000000001</v>
      </c>
      <c r="E204" s="51">
        <v>1011.46</v>
      </c>
      <c r="F204" s="250">
        <f t="shared" si="31"/>
        <v>-0.1823282134195634</v>
      </c>
      <c r="G204" s="51">
        <v>1237</v>
      </c>
      <c r="H204" s="12">
        <f t="shared" si="31"/>
        <v>-1.4907781989615509E-2</v>
      </c>
      <c r="I204" s="51">
        <v>1255.72</v>
      </c>
      <c r="J204" s="13"/>
      <c r="K204" s="32"/>
      <c r="L204" s="13"/>
      <c r="M204" s="32"/>
      <c r="N204" s="291"/>
      <c r="O204" s="7"/>
      <c r="P204" s="7"/>
      <c r="Q204" s="7"/>
      <c r="R204" s="7"/>
      <c r="S204" s="7"/>
      <c r="T204" s="7"/>
    </row>
    <row r="205" spans="1:20">
      <c r="A205" s="11" t="s">
        <v>122</v>
      </c>
      <c r="B205" s="51">
        <v>278.37</v>
      </c>
      <c r="C205" s="250">
        <f t="shared" si="28"/>
        <v>-0.35028591434239698</v>
      </c>
      <c r="D205" s="51">
        <v>428.45</v>
      </c>
      <c r="E205" s="51">
        <v>321.94</v>
      </c>
      <c r="F205" s="250">
        <f t="shared" si="31"/>
        <v>-0.29391380633841424</v>
      </c>
      <c r="G205" s="51">
        <v>455.95</v>
      </c>
      <c r="H205" s="12">
        <f t="shared" si="31"/>
        <v>0.61033411033411045</v>
      </c>
      <c r="I205" s="51">
        <v>283.14</v>
      </c>
      <c r="J205" s="13"/>
      <c r="K205" s="32"/>
      <c r="L205" s="13"/>
      <c r="M205" s="32"/>
      <c r="N205" s="291"/>
    </row>
    <row r="206" spans="1:20">
      <c r="A206" s="11" t="s">
        <v>123</v>
      </c>
      <c r="B206" s="51">
        <v>262.01</v>
      </c>
      <c r="C206" s="250">
        <f t="shared" si="28"/>
        <v>-7.2366790582403917E-2</v>
      </c>
      <c r="D206" s="51">
        <v>282.45</v>
      </c>
      <c r="E206" s="51">
        <v>264.41000000000003</v>
      </c>
      <c r="F206" s="250">
        <f t="shared" si="31"/>
        <v>5.2465498232143748E-3</v>
      </c>
      <c r="G206" s="51">
        <v>263.02999999999997</v>
      </c>
      <c r="H206" s="12">
        <f t="shared" si="31"/>
        <v>0.52675876480148576</v>
      </c>
      <c r="I206" s="51">
        <v>172.28</v>
      </c>
      <c r="J206" s="13"/>
      <c r="K206" s="32"/>
      <c r="L206" s="13"/>
      <c r="M206" s="32"/>
      <c r="N206" s="291"/>
    </row>
    <row r="207" spans="1:20">
      <c r="A207" s="11" t="s">
        <v>124</v>
      </c>
      <c r="B207" s="51">
        <v>386.87</v>
      </c>
      <c r="C207" s="250">
        <f t="shared" si="28"/>
        <v>-0.39485374628499914</v>
      </c>
      <c r="D207" s="51">
        <v>639.29999999999995</v>
      </c>
      <c r="E207" s="51">
        <v>500.71</v>
      </c>
      <c r="F207" s="250">
        <f t="shared" si="31"/>
        <v>-4.6575394634118417E-2</v>
      </c>
      <c r="G207" s="51">
        <v>525.16999999999996</v>
      </c>
      <c r="H207" s="12">
        <f t="shared" si="31"/>
        <v>-0.10181289550196693</v>
      </c>
      <c r="I207" s="51">
        <v>584.70000000000005</v>
      </c>
      <c r="J207" s="13"/>
      <c r="K207" s="32"/>
      <c r="L207" s="13"/>
      <c r="M207" s="32"/>
      <c r="N207" s="291"/>
    </row>
    <row r="208" spans="1:20">
      <c r="A208" s="11" t="s">
        <v>125</v>
      </c>
      <c r="B208" s="51">
        <v>416.43</v>
      </c>
      <c r="C208" s="250">
        <f t="shared" si="28"/>
        <v>-0.29310813104736022</v>
      </c>
      <c r="D208" s="51">
        <v>589.09999999999991</v>
      </c>
      <c r="E208" s="51">
        <v>456.46</v>
      </c>
      <c r="F208" s="250">
        <f t="shared" si="31"/>
        <v>-0.21758656153582445</v>
      </c>
      <c r="G208" s="51">
        <v>583.4</v>
      </c>
      <c r="H208" s="12">
        <f t="shared" si="31"/>
        <v>-8.7981490745372648E-2</v>
      </c>
      <c r="I208" s="51">
        <v>639.67999999999995</v>
      </c>
      <c r="J208" s="36"/>
      <c r="K208" s="32"/>
      <c r="L208" s="36"/>
      <c r="M208" s="32"/>
      <c r="N208" s="291"/>
    </row>
    <row r="209" spans="1:20">
      <c r="A209" s="11" t="s">
        <v>126</v>
      </c>
      <c r="B209" s="52">
        <v>68.14</v>
      </c>
      <c r="C209" s="250">
        <f t="shared" si="28"/>
        <v>-0.31928071928071933</v>
      </c>
      <c r="D209" s="52">
        <v>100.10000000000001</v>
      </c>
      <c r="E209" s="52">
        <v>91.84</v>
      </c>
      <c r="F209" s="250">
        <f t="shared" si="31"/>
        <v>-0.1461509854964671</v>
      </c>
      <c r="G209" s="52">
        <v>107.56</v>
      </c>
      <c r="H209" s="12">
        <f t="shared" si="31"/>
        <v>-0.19545216545740141</v>
      </c>
      <c r="I209" s="52">
        <v>133.69</v>
      </c>
      <c r="J209" s="13"/>
      <c r="K209" s="39"/>
      <c r="L209" s="13"/>
      <c r="M209" s="39"/>
      <c r="N209" s="291"/>
    </row>
    <row r="210" spans="1:20">
      <c r="A210" s="11" t="s">
        <v>127</v>
      </c>
      <c r="B210" s="52">
        <v>241.61</v>
      </c>
      <c r="C210" s="250">
        <f t="shared" si="28"/>
        <v>-3.3637309015278616E-2</v>
      </c>
      <c r="D210" s="52">
        <v>250.01999999999998</v>
      </c>
      <c r="E210" s="52">
        <v>267.01</v>
      </c>
      <c r="F210" s="250">
        <f t="shared" si="31"/>
        <v>0.37811612903225811</v>
      </c>
      <c r="G210" s="52">
        <v>193.75</v>
      </c>
      <c r="H210" s="12">
        <f t="shared" si="31"/>
        <v>0.73424633011099161</v>
      </c>
      <c r="I210" s="52">
        <v>111.72000000000001</v>
      </c>
      <c r="J210" s="13"/>
      <c r="K210" s="39"/>
      <c r="L210" s="13"/>
      <c r="M210" s="39"/>
      <c r="N210" s="291"/>
    </row>
    <row r="211" spans="1:20">
      <c r="A211" s="24" t="s">
        <v>106</v>
      </c>
      <c r="B211" s="53">
        <f>B189</f>
        <v>5439.75</v>
      </c>
      <c r="C211" s="250">
        <f t="shared" si="28"/>
        <v>2.9064851090877752E-2</v>
      </c>
      <c r="D211" s="53">
        <f>D189</f>
        <v>5286.1100000000006</v>
      </c>
      <c r="E211" s="53">
        <f>E189</f>
        <v>4876.16</v>
      </c>
      <c r="F211" s="250">
        <f t="shared" si="31"/>
        <v>-1.2519289264031008E-2</v>
      </c>
      <c r="G211" s="53">
        <f>G189</f>
        <v>4937.9799999999996</v>
      </c>
      <c r="H211" s="12">
        <f t="shared" si="31"/>
        <v>-2.2642794089122509E-2</v>
      </c>
      <c r="I211" s="53">
        <f>I189</f>
        <v>5052.38</v>
      </c>
      <c r="J211" s="13"/>
      <c r="K211" s="39"/>
      <c r="L211" s="13"/>
      <c r="M211" s="39"/>
      <c r="N211" s="291"/>
    </row>
    <row r="212" spans="1:20">
      <c r="A212" s="24" t="s">
        <v>107</v>
      </c>
      <c r="B212" s="53">
        <f>B190</f>
        <v>1772.78</v>
      </c>
      <c r="C212" s="250">
        <f t="shared" si="28"/>
        <v>7.5800882351156451E-2</v>
      </c>
      <c r="D212" s="53">
        <f>D190</f>
        <v>1647.87</v>
      </c>
      <c r="E212" s="53">
        <f>E190</f>
        <v>1733.08</v>
      </c>
      <c r="F212" s="250">
        <f t="shared" si="31"/>
        <v>0.12413569436336513</v>
      </c>
      <c r="G212" s="53">
        <f>G190</f>
        <v>1541.7</v>
      </c>
      <c r="H212" s="12">
        <f t="shared" si="31"/>
        <v>2.5543803632009698E-2</v>
      </c>
      <c r="I212" s="53">
        <f>I190</f>
        <v>1503.3</v>
      </c>
      <c r="J212" s="13"/>
      <c r="K212" s="39"/>
      <c r="L212" s="13"/>
      <c r="M212" s="39"/>
      <c r="N212" s="291"/>
    </row>
    <row r="213" spans="1:20" s="3" customFormat="1">
      <c r="A213" s="24" t="s">
        <v>128</v>
      </c>
      <c r="B213" s="25">
        <f>B191+B192+B193+B194+B195+B196+B197+B198+B199+B200</f>
        <v>3031.2299999999996</v>
      </c>
      <c r="C213" s="250">
        <f t="shared" si="28"/>
        <v>-0.20048373525913088</v>
      </c>
      <c r="D213" s="25">
        <f>D191+D192+D193+D194+D195+D196+D197+D198+D199+D200</f>
        <v>3791.3300000000004</v>
      </c>
      <c r="E213" s="25">
        <f>E191+E192+E193+E194+E195+E196+E197+E198+E199+E200</f>
        <v>2679.07</v>
      </c>
      <c r="F213" s="250">
        <f t="shared" si="31"/>
        <v>-0.27188500486484435</v>
      </c>
      <c r="G213" s="25">
        <f>G191+G192+G193+G194+G195+G196+G197+G198+G199+G200</f>
        <v>3679.4600000000005</v>
      </c>
      <c r="H213" s="12">
        <f t="shared" si="31"/>
        <v>0.27051421941685905</v>
      </c>
      <c r="I213" s="25">
        <f>I191+I192+I193+I194+I195+I196+I197+I198+I199+I200</f>
        <v>2896.04</v>
      </c>
      <c r="J213" s="13"/>
      <c r="K213" s="21"/>
      <c r="L213" s="13"/>
      <c r="M213" s="21"/>
      <c r="N213" s="291"/>
      <c r="O213" s="7"/>
      <c r="P213" s="7"/>
      <c r="Q213" s="7"/>
      <c r="R213" s="7"/>
      <c r="S213" s="7"/>
      <c r="T213" s="7"/>
    </row>
    <row r="214" spans="1:20" s="3" customFormat="1">
      <c r="A214" s="24" t="s">
        <v>129</v>
      </c>
      <c r="B214" s="25">
        <f>B201+B202+B203+B204+B205+B206</f>
        <v>2619.8100000000004</v>
      </c>
      <c r="C214" s="250">
        <f t="shared" si="28"/>
        <v>-7.2367652318009457E-2</v>
      </c>
      <c r="D214" s="25">
        <f>D201+D202+D203+D204+D205+D206</f>
        <v>2824.1899999999996</v>
      </c>
      <c r="E214" s="25">
        <f>E201+E202+E203+E204+E205+E206</f>
        <v>2530.25</v>
      </c>
      <c r="F214" s="250">
        <f t="shared" si="31"/>
        <v>-0.1073129599706466</v>
      </c>
      <c r="G214" s="25">
        <f>G201+G202+G203+G204+G205+G206</f>
        <v>2834.42</v>
      </c>
      <c r="H214" s="12">
        <f t="shared" si="31"/>
        <v>0.11233551921575091</v>
      </c>
      <c r="I214" s="25">
        <f>I201+I202+I203+I204+I205+I206</f>
        <v>2548.17</v>
      </c>
      <c r="J214" s="13"/>
      <c r="K214" s="21"/>
      <c r="L214" s="13"/>
      <c r="M214" s="21"/>
      <c r="N214" s="291"/>
      <c r="O214" s="7"/>
      <c r="P214" s="7"/>
      <c r="Q214" s="7"/>
      <c r="R214" s="7"/>
      <c r="S214" s="7"/>
      <c r="T214" s="7"/>
    </row>
    <row r="215" spans="1:20">
      <c r="A215" s="24" t="s">
        <v>130</v>
      </c>
      <c r="B215" s="25">
        <f>B207+B208+B209+B210</f>
        <v>1113.05</v>
      </c>
      <c r="C215" s="250">
        <f t="shared" si="28"/>
        <v>-0.29487748017129967</v>
      </c>
      <c r="D215" s="25">
        <f>D207+D208+D209+D210</f>
        <v>1578.5199999999998</v>
      </c>
      <c r="E215" s="25">
        <f>E207+E208+E209+E210</f>
        <v>1316.02</v>
      </c>
      <c r="F215" s="250">
        <f t="shared" si="31"/>
        <v>-6.6573041677305822E-2</v>
      </c>
      <c r="G215" s="256">
        <f>G207+G208+G209+G210</f>
        <v>1409.8799999999999</v>
      </c>
      <c r="H215" s="12">
        <f t="shared" si="31"/>
        <v>-4.0760925030106532E-2</v>
      </c>
      <c r="I215" s="256">
        <f>I207+I208+I209+I210</f>
        <v>1469.7900000000002</v>
      </c>
      <c r="J215" s="13"/>
      <c r="K215" s="21"/>
      <c r="L215" s="13"/>
      <c r="M215" s="21"/>
      <c r="N215" s="291"/>
    </row>
    <row r="216" spans="1:20" s="3" customFormat="1">
      <c r="A216" s="54" t="s">
        <v>135</v>
      </c>
      <c r="B216" s="55">
        <f>SUM(B211:B215)</f>
        <v>13976.619999999999</v>
      </c>
      <c r="C216" s="275">
        <f t="shared" si="28"/>
        <v>-7.6110422910599107E-2</v>
      </c>
      <c r="D216" s="55">
        <f>SUM(D211:D215)</f>
        <v>15128.02</v>
      </c>
      <c r="E216" s="55">
        <f>SUM(E211:E215)</f>
        <v>13134.58</v>
      </c>
      <c r="F216" s="275">
        <f t="shared" si="31"/>
        <v>-8.8094233044328174E-2</v>
      </c>
      <c r="G216" s="55">
        <f>SUM(G211:G215)</f>
        <v>14403.439999999999</v>
      </c>
      <c r="H216" s="259">
        <f t="shared" si="31"/>
        <v>6.9323101959363198E-2</v>
      </c>
      <c r="I216" s="55">
        <f>SUM(I211:I215)</f>
        <v>13469.680000000002</v>
      </c>
      <c r="J216" s="6">
        <f>(I216-K216)/K216</f>
        <v>2.0224712292826012E-2</v>
      </c>
      <c r="K216" s="55">
        <v>13202.66</v>
      </c>
      <c r="L216" s="6">
        <v>-1.1332933952373831E-2</v>
      </c>
      <c r="M216" s="55">
        <v>13354</v>
      </c>
      <c r="N216" s="291"/>
      <c r="O216" s="7"/>
      <c r="P216" s="7"/>
      <c r="Q216" s="7"/>
      <c r="R216" s="7"/>
      <c r="S216" s="7"/>
      <c r="T216" s="7"/>
    </row>
    <row r="217" spans="1:20" s="15" customFormat="1">
      <c r="B217" s="56"/>
      <c r="C217" s="56"/>
      <c r="D217" s="56"/>
      <c r="E217" s="257"/>
      <c r="F217" s="257"/>
      <c r="G217" s="257"/>
      <c r="H217" s="258"/>
      <c r="I217" s="257"/>
      <c r="J217" s="56"/>
      <c r="K217" s="56"/>
      <c r="L217" s="56"/>
      <c r="M217" s="56"/>
    </row>
    <row r="218" spans="1:20" s="15" customFormat="1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</row>
    <row r="219" spans="1:20" s="15" customFormat="1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</row>
    <row r="220" spans="1:20" s="15" customFormat="1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</row>
    <row r="221" spans="1:20" s="15" customFormat="1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</row>
    <row r="222" spans="1:20" s="15" customFormat="1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</row>
    <row r="223" spans="1:20" s="15" customFormat="1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</row>
    <row r="224" spans="1:20" s="15" customFormat="1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</row>
    <row r="225" spans="2:13" s="15" customFormat="1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</row>
    <row r="226" spans="2:13" s="15" customFormat="1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</row>
    <row r="227" spans="2:13" s="15" customFormat="1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</row>
    <row r="228" spans="2:13" s="15" customFormat="1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</row>
    <row r="229" spans="2:13" s="15" customFormat="1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2:13" s="15" customFormat="1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</row>
    <row r="231" spans="2:13" s="15" customFormat="1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</row>
    <row r="232" spans="2:13" s="15" customFormat="1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</row>
    <row r="233" spans="2:13" s="15" customFormat="1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</row>
    <row r="234" spans="2:13" s="15" customFormat="1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</row>
    <row r="235" spans="2:13" s="15" customFormat="1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</row>
    <row r="236" spans="2:13" s="15" customFormat="1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</row>
    <row r="237" spans="2:13" s="15" customFormat="1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</row>
    <row r="238" spans="2:13" s="15" customFormat="1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</row>
    <row r="239" spans="2:13" s="15" customFormat="1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</row>
    <row r="240" spans="2:13" s="15" customFormat="1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</row>
    <row r="241" spans="2:13" s="15" customFormat="1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</row>
    <row r="242" spans="2:13" s="15" customFormat="1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</row>
    <row r="243" spans="2:13" s="15" customFormat="1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</row>
    <row r="244" spans="2:13" s="15" customFormat="1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</row>
    <row r="245" spans="2:13" s="15" customFormat="1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</row>
    <row r="246" spans="2:13" s="15" customFormat="1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</row>
    <row r="247" spans="2:13" s="15" customFormat="1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</row>
    <row r="248" spans="2:13" s="15" customFormat="1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</row>
    <row r="249" spans="2:13" s="15" customFormat="1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</row>
    <row r="250" spans="2:13" s="15" customFormat="1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</row>
    <row r="251" spans="2:13" s="15" customFormat="1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</row>
    <row r="252" spans="2:13" s="15" customFormat="1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</row>
    <row r="253" spans="2:13" s="15" customFormat="1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</row>
    <row r="254" spans="2:13" s="15" customFormat="1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</row>
    <row r="255" spans="2:13" s="15" customFormat="1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</row>
    <row r="256" spans="2:13" s="15" customFormat="1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</row>
    <row r="257" spans="2:13" s="15" customFormat="1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</row>
    <row r="258" spans="2:13" s="15" customFormat="1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</row>
    <row r="259" spans="2:13" s="15" customFormat="1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</row>
    <row r="260" spans="2:13" s="15" customFormat="1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</row>
    <row r="261" spans="2:13" s="15" customFormat="1"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</row>
    <row r="262" spans="2:13" s="15" customFormat="1"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</row>
    <row r="263" spans="2:13" s="15" customFormat="1"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</row>
    <row r="264" spans="2:13" s="15" customFormat="1"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</row>
    <row r="265" spans="2:13" s="15" customFormat="1"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</row>
    <row r="266" spans="2:13" s="15" customFormat="1"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</row>
    <row r="267" spans="2:13" s="15" customFormat="1"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</row>
    <row r="268" spans="2:13" s="15" customFormat="1"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</row>
    <row r="269" spans="2:13" s="15" customFormat="1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</row>
    <row r="270" spans="2:13" s="15" customFormat="1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</row>
    <row r="271" spans="2:13" s="15" customFormat="1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</row>
    <row r="272" spans="2:13" s="15" customFormat="1"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</row>
    <row r="273" spans="2:13" s="15" customFormat="1"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</row>
    <row r="274" spans="2:13" s="15" customFormat="1"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</row>
    <row r="275" spans="2:13" s="15" customFormat="1"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</row>
    <row r="276" spans="2:13" s="15" customFormat="1"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</row>
    <row r="277" spans="2:13" s="15" customFormat="1"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</row>
    <row r="278" spans="2:13" s="15" customFormat="1"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</row>
    <row r="279" spans="2:13" s="15" customFormat="1"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</row>
    <row r="280" spans="2:13" s="15" customFormat="1"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</row>
    <row r="281" spans="2:13" s="15" customFormat="1"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</row>
    <row r="282" spans="2:13" s="15" customFormat="1"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</row>
    <row r="283" spans="2:13" s="15" customFormat="1"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</row>
    <row r="284" spans="2:13" s="15" customFormat="1"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</row>
    <row r="285" spans="2:13" s="15" customFormat="1"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</row>
    <row r="286" spans="2:13" s="15" customFormat="1"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</row>
    <row r="287" spans="2:13" s="15" customFormat="1"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</row>
    <row r="288" spans="2:13" s="15" customFormat="1"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</row>
    <row r="289" spans="2:13" s="15" customFormat="1"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</row>
    <row r="290" spans="2:13" s="15" customFormat="1"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</row>
    <row r="291" spans="2:13" s="15" customFormat="1"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</row>
    <row r="292" spans="2:13" s="15" customFormat="1"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</row>
    <row r="293" spans="2:13" s="15" customFormat="1"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</row>
    <row r="294" spans="2:13" s="15" customFormat="1"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</row>
    <row r="295" spans="2:13" s="15" customFormat="1"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</row>
    <row r="296" spans="2:13" s="15" customFormat="1"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</row>
    <row r="297" spans="2:13" s="15" customFormat="1"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</row>
    <row r="298" spans="2:13" s="15" customFormat="1"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</row>
    <row r="299" spans="2:13" s="15" customFormat="1"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</row>
    <row r="300" spans="2:13" s="15" customFormat="1"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</row>
    <row r="301" spans="2:13" s="15" customFormat="1"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</row>
    <row r="302" spans="2:13" s="15" customFormat="1"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</row>
    <row r="303" spans="2:13" s="15" customFormat="1"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</row>
    <row r="304" spans="2:13" s="15" customFormat="1"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</row>
    <row r="305" spans="2:13" s="15" customFormat="1"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</row>
    <row r="306" spans="2:13" s="15" customFormat="1"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</row>
    <row r="307" spans="2:13" s="15" customFormat="1"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</row>
    <row r="308" spans="2:13" s="15" customFormat="1"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</row>
    <row r="309" spans="2:13" s="15" customFormat="1"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</row>
    <row r="310" spans="2:13" s="15" customFormat="1"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</row>
    <row r="311" spans="2:13" s="15" customFormat="1"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</row>
    <row r="312" spans="2:13" s="15" customFormat="1"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</row>
    <row r="313" spans="2:13" s="15" customFormat="1"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</row>
    <row r="314" spans="2:13" s="15" customFormat="1"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</row>
    <row r="315" spans="2:13" s="15" customFormat="1"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</row>
    <row r="316" spans="2:13" s="15" customFormat="1"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</row>
    <row r="317" spans="2:13" s="15" customFormat="1"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</row>
    <row r="318" spans="2:13" s="15" customFormat="1"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</row>
    <row r="319" spans="2:13" s="15" customFormat="1"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</row>
    <row r="320" spans="2:13" s="15" customFormat="1"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</row>
    <row r="321" spans="2:13" s="15" customFormat="1"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</row>
    <row r="322" spans="2:13" s="15" customFormat="1"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</row>
    <row r="323" spans="2:13" s="15" customFormat="1"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</row>
    <row r="324" spans="2:13" s="15" customFormat="1"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</row>
    <row r="325" spans="2:13" s="15" customFormat="1"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</row>
    <row r="326" spans="2:13" s="15" customFormat="1"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</row>
    <row r="327" spans="2:13" s="15" customFormat="1"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</row>
    <row r="328" spans="2:13" s="15" customFormat="1"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</row>
    <row r="329" spans="2:13" s="15" customFormat="1"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</row>
    <row r="330" spans="2:13" s="15" customFormat="1"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</row>
    <row r="331" spans="2:13" s="15" customFormat="1"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</row>
    <row r="332" spans="2:13" s="15" customFormat="1"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</row>
    <row r="333" spans="2:13" s="15" customFormat="1"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</row>
    <row r="334" spans="2:13" s="15" customFormat="1"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</row>
    <row r="335" spans="2:13" s="15" customFormat="1"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</row>
    <row r="336" spans="2:13" s="15" customFormat="1"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</row>
    <row r="337" spans="2:13" s="15" customFormat="1"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</row>
    <row r="338" spans="2:13" s="15" customFormat="1"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</row>
    <row r="339" spans="2:13" s="15" customFormat="1"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</row>
    <row r="340" spans="2:13" s="15" customFormat="1"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</row>
    <row r="341" spans="2:13" s="15" customFormat="1"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</row>
    <row r="342" spans="2:13" s="15" customFormat="1"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</row>
    <row r="343" spans="2:13" s="15" customFormat="1"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</row>
    <row r="344" spans="2:13" s="15" customFormat="1"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</row>
    <row r="345" spans="2:13" s="15" customFormat="1"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</row>
    <row r="346" spans="2:13" s="15" customFormat="1"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</row>
    <row r="347" spans="2:13" s="15" customFormat="1"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</row>
    <row r="348" spans="2:13" s="15" customFormat="1"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</row>
    <row r="349" spans="2:13" s="15" customFormat="1"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</row>
    <row r="350" spans="2:13" s="15" customFormat="1"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</row>
    <row r="351" spans="2:13" s="15" customFormat="1"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</row>
    <row r="352" spans="2:13" s="15" customFormat="1"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</row>
    <row r="353" spans="2:13" s="15" customFormat="1"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</row>
    <row r="354" spans="2:13" s="15" customFormat="1"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</row>
    <row r="355" spans="2:13" s="15" customFormat="1"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</row>
    <row r="356" spans="2:13" s="15" customFormat="1"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</row>
    <row r="357" spans="2:13" s="15" customFormat="1"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</row>
    <row r="358" spans="2:13" s="15" customFormat="1"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</row>
    <row r="359" spans="2:13" s="15" customFormat="1"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</row>
    <row r="360" spans="2:13" s="15" customFormat="1"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</row>
    <row r="361" spans="2:13" s="15" customFormat="1"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</row>
    <row r="362" spans="2:13" s="15" customFormat="1"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</row>
    <row r="363" spans="2:13" s="15" customFormat="1"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</row>
    <row r="364" spans="2:13" s="15" customFormat="1"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</row>
    <row r="365" spans="2:13" s="15" customFormat="1"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</row>
    <row r="366" spans="2:13" s="15" customFormat="1"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</row>
    <row r="367" spans="2:13" s="15" customFormat="1"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</row>
    <row r="368" spans="2:13" s="15" customFormat="1"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</row>
    <row r="369" spans="2:13" s="15" customFormat="1"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</row>
    <row r="370" spans="2:13" s="15" customFormat="1"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</row>
    <row r="371" spans="2:13" s="15" customFormat="1"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</row>
    <row r="372" spans="2:13" s="15" customFormat="1"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</row>
    <row r="373" spans="2:13" s="15" customFormat="1"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</row>
    <row r="374" spans="2:13" s="15" customFormat="1"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</row>
    <row r="375" spans="2:13" s="15" customFormat="1"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</row>
    <row r="376" spans="2:13" s="15" customFormat="1"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</row>
    <row r="377" spans="2:13" s="15" customFormat="1"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</row>
    <row r="378" spans="2:13" s="15" customFormat="1"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</row>
    <row r="379" spans="2:13" s="15" customFormat="1"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</row>
    <row r="380" spans="2:13" s="15" customFormat="1"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</row>
    <row r="381" spans="2:13" s="15" customFormat="1"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</row>
    <row r="382" spans="2:13" s="15" customFormat="1"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</row>
    <row r="383" spans="2:13" s="15" customFormat="1"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</row>
    <row r="384" spans="2:13" s="15" customFormat="1"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</row>
    <row r="385" spans="2:13" s="15" customFormat="1"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</row>
    <row r="386" spans="2:13" s="15" customFormat="1"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</row>
    <row r="387" spans="2:13" s="15" customFormat="1"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</row>
    <row r="388" spans="2:13" s="15" customFormat="1"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</row>
    <row r="389" spans="2:13" s="15" customFormat="1"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</row>
    <row r="390" spans="2:13" s="15" customFormat="1"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</row>
    <row r="391" spans="2:13" s="15" customFormat="1"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</row>
    <row r="392" spans="2:13" s="15" customFormat="1"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</row>
    <row r="393" spans="2:13" s="15" customFormat="1"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</row>
    <row r="394" spans="2:13" s="15" customFormat="1"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</row>
    <row r="395" spans="2:13" s="15" customFormat="1"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</row>
    <row r="396" spans="2:13" s="15" customFormat="1"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</row>
    <row r="397" spans="2:13" s="15" customFormat="1"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</row>
    <row r="398" spans="2:13" s="15" customFormat="1"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</row>
    <row r="399" spans="2:13" s="15" customFormat="1"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</row>
    <row r="400" spans="2:13" s="15" customFormat="1"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</row>
    <row r="401" spans="2:13" s="15" customFormat="1"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</row>
    <row r="402" spans="2:13" s="15" customFormat="1"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</row>
    <row r="403" spans="2:13" s="15" customFormat="1"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</row>
    <row r="404" spans="2:13" s="15" customFormat="1"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</row>
    <row r="405" spans="2:13" s="15" customFormat="1"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</row>
    <row r="406" spans="2:13" s="15" customFormat="1"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</row>
    <row r="407" spans="2:13" s="15" customFormat="1"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</row>
    <row r="408" spans="2:13" s="15" customFormat="1"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</row>
    <row r="409" spans="2:13" s="15" customFormat="1"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</row>
    <row r="410" spans="2:13" s="15" customFormat="1"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</row>
    <row r="411" spans="2:13" s="15" customFormat="1"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</row>
    <row r="412" spans="2:13" s="15" customFormat="1"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</row>
    <row r="413" spans="2:13" s="15" customFormat="1"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</row>
    <row r="414" spans="2:13" s="15" customFormat="1"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</row>
    <row r="415" spans="2:13" s="15" customFormat="1"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</row>
    <row r="416" spans="2:13" s="15" customFormat="1"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</row>
    <row r="417" spans="2:13" s="15" customFormat="1"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</row>
    <row r="418" spans="2:13" s="15" customFormat="1"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</row>
    <row r="419" spans="2:13" s="15" customFormat="1"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</row>
    <row r="420" spans="2:13" s="15" customFormat="1"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</row>
    <row r="421" spans="2:13" s="15" customFormat="1"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</row>
    <row r="422" spans="2:13" s="15" customFormat="1"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</row>
    <row r="423" spans="2:13" s="15" customFormat="1"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</row>
    <row r="424" spans="2:13" s="15" customFormat="1"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</row>
    <row r="425" spans="2:13" s="15" customFormat="1"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</row>
    <row r="426" spans="2:13" s="15" customFormat="1"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</row>
    <row r="427" spans="2:13" s="15" customFormat="1"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</row>
    <row r="428" spans="2:13" s="15" customFormat="1"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</row>
    <row r="429" spans="2:13" s="15" customFormat="1"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</row>
    <row r="430" spans="2:13" s="15" customFormat="1"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</row>
    <row r="431" spans="2:13" s="15" customFormat="1"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</row>
    <row r="432" spans="2:13" s="15" customFormat="1"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</row>
    <row r="433" spans="2:13" s="15" customFormat="1"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</row>
    <row r="434" spans="2:13" s="15" customFormat="1"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</row>
    <row r="435" spans="2:13" s="15" customFormat="1"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</row>
    <row r="436" spans="2:13" s="15" customFormat="1"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</row>
    <row r="437" spans="2:13" s="15" customFormat="1"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</row>
    <row r="438" spans="2:13" s="15" customFormat="1"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</row>
    <row r="439" spans="2:13" s="15" customFormat="1"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</row>
    <row r="440" spans="2:13" s="15" customFormat="1"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</row>
    <row r="441" spans="2:13" s="15" customFormat="1"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</row>
    <row r="442" spans="2:13" s="15" customFormat="1"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</row>
    <row r="443" spans="2:13" s="15" customFormat="1"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</row>
    <row r="444" spans="2:13" s="15" customFormat="1"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</row>
    <row r="445" spans="2:13" s="15" customFormat="1"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</row>
    <row r="446" spans="2:13" s="15" customFormat="1"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</row>
    <row r="447" spans="2:13" s="15" customFormat="1"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</row>
    <row r="448" spans="2:13" s="15" customFormat="1"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</row>
    <row r="449" spans="2:13" s="15" customFormat="1"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</row>
    <row r="450" spans="2:13" s="15" customFormat="1"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</row>
    <row r="451" spans="2:13" s="15" customFormat="1"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</row>
    <row r="452" spans="2:13" s="15" customFormat="1"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</row>
    <row r="453" spans="2:13" s="15" customFormat="1"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</row>
    <row r="454" spans="2:13" s="15" customFormat="1"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</row>
    <row r="455" spans="2:13" s="15" customFormat="1"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</row>
    <row r="456" spans="2:13" s="15" customFormat="1"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</row>
    <row r="457" spans="2:13" s="15" customFormat="1"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</row>
    <row r="458" spans="2:13" s="15" customFormat="1"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</row>
    <row r="459" spans="2:13" s="15" customFormat="1"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</row>
    <row r="460" spans="2:13" s="15" customFormat="1"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</row>
    <row r="461" spans="2:13" s="15" customFormat="1"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</row>
    <row r="462" spans="2:13" s="15" customFormat="1"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</row>
    <row r="463" spans="2:13" s="15" customFormat="1"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</row>
    <row r="464" spans="2:13" s="15" customFormat="1"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</row>
    <row r="465" spans="2:13" s="15" customFormat="1"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</row>
    <row r="466" spans="2:13" s="15" customFormat="1"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</row>
    <row r="467" spans="2:13" s="15" customFormat="1"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</row>
    <row r="468" spans="2:13" s="15" customFormat="1"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</row>
    <row r="469" spans="2:13" s="15" customFormat="1"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</row>
    <row r="470" spans="2:13" s="15" customFormat="1"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</row>
    <row r="471" spans="2:13" s="15" customFormat="1"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</row>
    <row r="472" spans="2:13" s="15" customFormat="1"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</row>
    <row r="473" spans="2:13" s="15" customFormat="1"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</row>
    <row r="474" spans="2:13" s="15" customFormat="1"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</row>
    <row r="475" spans="2:13" s="15" customFormat="1"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</row>
    <row r="476" spans="2:13" s="15" customFormat="1"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</row>
    <row r="477" spans="2:13" s="15" customFormat="1"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</row>
    <row r="478" spans="2:13" s="15" customFormat="1"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</row>
    <row r="479" spans="2:13" s="15" customFormat="1"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</row>
    <row r="480" spans="2:13" s="15" customFormat="1"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</row>
    <row r="481" spans="2:13" s="15" customFormat="1"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</row>
    <row r="482" spans="2:13" s="15" customFormat="1"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</row>
    <row r="483" spans="2:13" s="15" customFormat="1"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</row>
    <row r="484" spans="2:13" s="15" customFormat="1"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</row>
    <row r="485" spans="2:13" s="15" customFormat="1"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</row>
    <row r="486" spans="2:13" s="15" customFormat="1"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</row>
    <row r="487" spans="2:13" s="15" customFormat="1"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</row>
    <row r="488" spans="2:13" s="15" customFormat="1"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</row>
    <row r="489" spans="2:13" s="15" customFormat="1"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</row>
    <row r="490" spans="2:13" s="15" customFormat="1"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</row>
    <row r="491" spans="2:13" s="15" customFormat="1"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</row>
    <row r="492" spans="2:13" s="15" customFormat="1"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</row>
    <row r="493" spans="2:13" s="15" customFormat="1"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</row>
    <row r="494" spans="2:13" s="15" customFormat="1"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</row>
    <row r="495" spans="2:13" s="15" customFormat="1"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</row>
    <row r="496" spans="2:13" s="15" customFormat="1"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</row>
    <row r="497" spans="2:13" s="15" customFormat="1"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</row>
    <row r="498" spans="2:13" s="15" customFormat="1"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</row>
    <row r="499" spans="2:13" s="15" customFormat="1"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</row>
    <row r="500" spans="2:13" s="15" customFormat="1"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</row>
    <row r="501" spans="2:13" s="15" customFormat="1"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</row>
    <row r="502" spans="2:13" s="15" customFormat="1"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</row>
    <row r="503" spans="2:13" s="15" customFormat="1"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</row>
    <row r="504" spans="2:13" s="15" customFormat="1"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</row>
    <row r="505" spans="2:13" s="15" customFormat="1"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</row>
    <row r="506" spans="2:13" s="15" customFormat="1"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</row>
    <row r="507" spans="2:13" s="15" customFormat="1"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</row>
    <row r="508" spans="2:13" s="15" customFormat="1"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</row>
    <row r="509" spans="2:13" s="15" customFormat="1"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</row>
    <row r="510" spans="2:13" s="15" customFormat="1"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</row>
    <row r="511" spans="2:13" s="15" customFormat="1"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</row>
    <row r="512" spans="2:13" s="15" customFormat="1"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</row>
    <row r="513" spans="2:13" s="15" customFormat="1"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</row>
    <row r="514" spans="2:13" s="15" customFormat="1"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</row>
    <row r="515" spans="2:13" s="15" customFormat="1"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</row>
    <row r="516" spans="2:13" s="15" customFormat="1"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</row>
    <row r="517" spans="2:13" s="15" customFormat="1"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</row>
    <row r="518" spans="2:13" s="15" customFormat="1"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</row>
    <row r="519" spans="2:13" s="15" customFormat="1"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</row>
    <row r="520" spans="2:13" s="15" customFormat="1"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</row>
    <row r="521" spans="2:13" s="15" customFormat="1"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</row>
    <row r="522" spans="2:13" s="15" customFormat="1"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</row>
    <row r="523" spans="2:13" s="15" customFormat="1"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</row>
    <row r="524" spans="2:13" s="15" customFormat="1"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</row>
    <row r="525" spans="2:13" s="15" customFormat="1"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</row>
    <row r="526" spans="2:13" s="15" customFormat="1"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</row>
    <row r="527" spans="2:13" s="15" customFormat="1"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</row>
    <row r="528" spans="2:13" s="15" customFormat="1"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</row>
    <row r="529" spans="2:13" s="15" customFormat="1"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</row>
    <row r="530" spans="2:13" s="15" customFormat="1"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</row>
    <row r="531" spans="2:13" s="15" customFormat="1"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</row>
    <row r="532" spans="2:13" s="15" customFormat="1"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</row>
    <row r="533" spans="2:13" s="15" customFormat="1"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</row>
    <row r="534" spans="2:13" s="15" customFormat="1"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</row>
    <row r="535" spans="2:13" s="15" customFormat="1"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</row>
    <row r="536" spans="2:13" s="15" customFormat="1"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</row>
    <row r="537" spans="2:13" s="15" customFormat="1"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</row>
    <row r="538" spans="2:13" s="15" customFormat="1"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</row>
    <row r="539" spans="2:13" s="15" customFormat="1"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</row>
    <row r="540" spans="2:13" s="15" customFormat="1"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</row>
    <row r="541" spans="2:13" s="15" customFormat="1"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</row>
    <row r="542" spans="2:13" s="15" customFormat="1"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</row>
    <row r="543" spans="2:13" s="15" customFormat="1"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</row>
    <row r="544" spans="2:13" s="15" customFormat="1"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</row>
    <row r="545" spans="2:13" s="15" customFormat="1"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</row>
    <row r="546" spans="2:13" s="15" customFormat="1"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</row>
    <row r="547" spans="2:13" s="15" customFormat="1"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</row>
    <row r="548" spans="2:13" s="15" customFormat="1"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</row>
    <row r="549" spans="2:13" s="15" customFormat="1"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</row>
    <row r="550" spans="2:13" s="15" customFormat="1"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</row>
    <row r="551" spans="2:13" s="15" customFormat="1"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</row>
    <row r="552" spans="2:13" s="15" customFormat="1"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</row>
    <row r="553" spans="2:13" s="15" customFormat="1"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</row>
    <row r="554" spans="2:13" s="15" customFormat="1"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</row>
    <row r="555" spans="2:13" s="15" customFormat="1"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</row>
    <row r="556" spans="2:13" s="15" customFormat="1"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</row>
    <row r="557" spans="2:13" s="15" customFormat="1"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</row>
    <row r="558" spans="2:13" s="15" customFormat="1"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</row>
    <row r="559" spans="2:13" s="15" customFormat="1"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</row>
    <row r="560" spans="2:13" s="15" customFormat="1"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</row>
    <row r="561" spans="2:13" s="15" customFormat="1"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</row>
    <row r="562" spans="2:13" s="15" customFormat="1"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</row>
    <row r="563" spans="2:13" s="15" customFormat="1"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</row>
    <row r="564" spans="2:13" s="15" customFormat="1"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</row>
    <row r="565" spans="2:13" s="15" customFormat="1"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</row>
    <row r="566" spans="2:13" s="15" customFormat="1"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</row>
    <row r="567" spans="2:13" s="15" customFormat="1"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</row>
    <row r="568" spans="2:13" s="15" customFormat="1"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</row>
    <row r="569" spans="2:13" s="15" customFormat="1"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</row>
    <row r="570" spans="2:13" s="15" customFormat="1"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</row>
    <row r="571" spans="2:13" s="15" customFormat="1"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</row>
    <row r="572" spans="2:13" s="15" customFormat="1"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</row>
    <row r="573" spans="2:13" s="15" customFormat="1"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</row>
    <row r="574" spans="2:13" s="15" customFormat="1"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</row>
    <row r="575" spans="2:13" s="15" customFormat="1"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</row>
    <row r="576" spans="2:13" s="15" customFormat="1"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</row>
    <row r="577" spans="2:13" s="15" customFormat="1"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</row>
    <row r="578" spans="2:13" s="15" customFormat="1"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</row>
    <row r="579" spans="2:13" s="15" customFormat="1"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</row>
    <row r="580" spans="2:13" s="15" customFormat="1"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</row>
    <row r="581" spans="2:13" s="15" customFormat="1"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</row>
    <row r="582" spans="2:13" s="15" customFormat="1"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</row>
    <row r="583" spans="2:13" s="15" customFormat="1"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</row>
    <row r="584" spans="2:13" s="15" customFormat="1"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</row>
    <row r="585" spans="2:13" s="15" customFormat="1"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</row>
    <row r="586" spans="2:13" s="15" customFormat="1"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</row>
    <row r="587" spans="2:13" s="15" customFormat="1"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</row>
    <row r="588" spans="2:13" s="15" customFormat="1"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</row>
    <row r="589" spans="2:13" s="15" customFormat="1"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</row>
    <row r="590" spans="2:13" s="15" customFormat="1"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</row>
    <row r="591" spans="2:13" s="15" customFormat="1"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</row>
    <row r="592" spans="2:13" s="15" customFormat="1"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</row>
    <row r="593" spans="2:13" s="15" customFormat="1"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</row>
    <row r="594" spans="2:13" s="15" customFormat="1"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</row>
    <row r="595" spans="2:13" s="15" customFormat="1"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</row>
    <row r="596" spans="2:13" s="15" customFormat="1"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</row>
    <row r="597" spans="2:13" s="15" customFormat="1"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</row>
    <row r="598" spans="2:13" s="15" customFormat="1"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</row>
    <row r="599" spans="2:13" s="15" customFormat="1"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</row>
    <row r="600" spans="2:13" s="15" customFormat="1"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</row>
    <row r="601" spans="2:13" s="15" customFormat="1"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</row>
    <row r="602" spans="2:13" s="15" customFormat="1"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</row>
    <row r="603" spans="2:13" s="15" customFormat="1"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</row>
    <row r="604" spans="2:13" s="15" customFormat="1"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</row>
    <row r="605" spans="2:13" s="15" customFormat="1"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</row>
    <row r="606" spans="2:13" s="15" customFormat="1"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</row>
    <row r="607" spans="2:13" s="15" customFormat="1"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</row>
    <row r="608" spans="2:13" s="15" customFormat="1"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</row>
    <row r="609" spans="2:13" s="15" customFormat="1"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</row>
    <row r="610" spans="2:13" s="15" customFormat="1"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</row>
    <row r="611" spans="2:13" s="15" customFormat="1"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</row>
    <row r="612" spans="2:13" s="15" customFormat="1"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</row>
    <row r="613" spans="2:13" s="15" customFormat="1"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</row>
    <row r="614" spans="2:13" s="15" customFormat="1"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</row>
    <row r="615" spans="2:13" s="15" customFormat="1"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</row>
    <row r="616" spans="2:13" s="15" customFormat="1"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</row>
    <row r="617" spans="2:13" s="15" customFormat="1"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</row>
    <row r="618" spans="2:13" s="15" customFormat="1"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</row>
    <row r="619" spans="2:13" s="15" customFormat="1"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</row>
    <row r="620" spans="2:13" s="15" customFormat="1"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</row>
    <row r="621" spans="2:13" s="15" customFormat="1"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</row>
    <row r="622" spans="2:13" s="15" customFormat="1"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</row>
    <row r="623" spans="2:13" s="15" customFormat="1"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</row>
    <row r="624" spans="2:13" s="15" customFormat="1"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</row>
    <row r="625" spans="2:13" s="15" customFormat="1"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</row>
    <row r="626" spans="2:13" s="15" customFormat="1"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</row>
    <row r="627" spans="2:13" s="15" customFormat="1"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</row>
    <row r="628" spans="2:13" s="15" customFormat="1"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</row>
    <row r="629" spans="2:13" s="15" customFormat="1"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</row>
    <row r="630" spans="2:13" s="15" customFormat="1"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</row>
    <row r="631" spans="2:13" s="15" customFormat="1"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</row>
    <row r="632" spans="2:13" s="15" customFormat="1"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</row>
    <row r="633" spans="2:13" s="15" customFormat="1"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</row>
    <row r="634" spans="2:13" s="15" customFormat="1"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</row>
    <row r="635" spans="2:13" s="15" customFormat="1"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</row>
    <row r="636" spans="2:13" s="15" customFormat="1"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</row>
    <row r="637" spans="2:13" s="15" customFormat="1"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</row>
    <row r="638" spans="2:13" s="15" customFormat="1"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</row>
    <row r="639" spans="2:13" s="15" customFormat="1"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</row>
    <row r="640" spans="2:13" s="15" customFormat="1"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</row>
    <row r="641" spans="2:13" s="15" customFormat="1"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</row>
    <row r="642" spans="2:13" s="15" customFormat="1"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</row>
    <row r="643" spans="2:13" s="15" customFormat="1"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</row>
    <row r="644" spans="2:13" s="15" customFormat="1"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</row>
    <row r="645" spans="2:13" s="15" customFormat="1"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</row>
    <row r="646" spans="2:13" s="15" customFormat="1"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</row>
    <row r="647" spans="2:13" s="15" customFormat="1"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</row>
    <row r="648" spans="2:13" s="15" customFormat="1"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</row>
    <row r="649" spans="2:13" s="15" customFormat="1"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</row>
    <row r="650" spans="2:13" s="15" customFormat="1"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</row>
    <row r="651" spans="2:13" s="15" customFormat="1"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</row>
    <row r="652" spans="2:13" s="15" customFormat="1"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</row>
    <row r="653" spans="2:13" s="15" customFormat="1"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</row>
    <row r="654" spans="2:13" s="15" customFormat="1"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</row>
    <row r="655" spans="2:13" s="15" customFormat="1"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</row>
    <row r="656" spans="2:13" s="15" customFormat="1"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</row>
    <row r="657" spans="2:13" s="15" customFormat="1"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</row>
    <row r="658" spans="2:13" s="15" customFormat="1"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</row>
    <row r="659" spans="2:13" s="15" customFormat="1"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</row>
    <row r="660" spans="2:13" s="15" customFormat="1"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</row>
    <row r="661" spans="2:13" s="15" customFormat="1"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</row>
    <row r="662" spans="2:13" s="15" customFormat="1"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</row>
    <row r="663" spans="2:13" s="15" customFormat="1"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</row>
    <row r="664" spans="2:13" s="15" customFormat="1"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</row>
    <row r="665" spans="2:13" s="15" customFormat="1"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</row>
    <row r="666" spans="2:13" s="15" customFormat="1"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</row>
    <row r="667" spans="2:13" s="15" customFormat="1"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</row>
    <row r="668" spans="2:13" s="15" customFormat="1"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</row>
    <row r="669" spans="2:13" s="15" customFormat="1"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</row>
    <row r="670" spans="2:13" s="15" customFormat="1"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</row>
    <row r="671" spans="2:13" s="15" customFormat="1"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</row>
    <row r="672" spans="2:13" s="15" customFormat="1"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</row>
    <row r="673" spans="2:13" s="15" customFormat="1"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</row>
    <row r="674" spans="2:13" s="15" customFormat="1"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</row>
    <row r="675" spans="2:13" s="15" customFormat="1"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</row>
    <row r="676" spans="2:13" s="15" customFormat="1"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</row>
    <row r="677" spans="2:13" s="15" customFormat="1"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</row>
    <row r="678" spans="2:13" s="15" customFormat="1"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</row>
    <row r="679" spans="2:13" s="15" customFormat="1"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</row>
    <row r="680" spans="2:13" s="15" customFormat="1"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</row>
    <row r="681" spans="2:13" s="15" customFormat="1"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</row>
    <row r="682" spans="2:13" s="15" customFormat="1"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</row>
    <row r="683" spans="2:13" s="15" customFormat="1"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</row>
    <row r="684" spans="2:13" s="15" customFormat="1"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</row>
    <row r="685" spans="2:13" s="15" customFormat="1"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</row>
    <row r="686" spans="2:13" s="15" customFormat="1"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</row>
    <row r="687" spans="2:13" s="15" customFormat="1"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</row>
    <row r="688" spans="2:13" s="15" customFormat="1"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</row>
    <row r="689" spans="2:13" s="15" customFormat="1"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</row>
    <row r="690" spans="2:13" s="15" customFormat="1"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</row>
    <row r="691" spans="2:13" s="15" customFormat="1"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</row>
    <row r="692" spans="2:13" s="15" customFormat="1"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</row>
    <row r="693" spans="2:13" s="15" customFormat="1"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</row>
    <row r="694" spans="2:13" s="15" customFormat="1"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</row>
    <row r="695" spans="2:13" s="15" customFormat="1"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</row>
    <row r="696" spans="2:13" s="15" customFormat="1"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</row>
    <row r="697" spans="2:13" s="15" customFormat="1"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</row>
    <row r="698" spans="2:13" s="15" customFormat="1"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</row>
    <row r="699" spans="2:13" s="15" customFormat="1"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</row>
    <row r="700" spans="2:13" s="15" customFormat="1"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</row>
    <row r="701" spans="2:13" s="15" customFormat="1"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</row>
    <row r="702" spans="2:13" s="15" customFormat="1"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</row>
    <row r="703" spans="2:13" s="15" customFormat="1"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</row>
    <row r="704" spans="2:13" s="15" customFormat="1"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</row>
    <row r="705" spans="2:13" s="15" customFormat="1"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</row>
    <row r="706" spans="2:13" s="15" customFormat="1"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</row>
    <row r="707" spans="2:13" s="15" customFormat="1"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</row>
    <row r="708" spans="2:13" s="15" customFormat="1"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</row>
    <row r="709" spans="2:13" s="15" customFormat="1"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</row>
    <row r="710" spans="2:13" s="15" customFormat="1"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</row>
    <row r="711" spans="2:13" s="15" customFormat="1"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</row>
    <row r="712" spans="2:13" s="15" customFormat="1"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</row>
    <row r="713" spans="2:13" s="15" customFormat="1"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</row>
    <row r="714" spans="2:13" s="15" customFormat="1"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</row>
    <row r="715" spans="2:13" s="15" customFormat="1"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</row>
    <row r="716" spans="2:13" s="15" customFormat="1"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</row>
    <row r="717" spans="2:13" s="15" customFormat="1"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</row>
    <row r="718" spans="2:13" s="15" customFormat="1"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</row>
    <row r="719" spans="2:13" s="15" customFormat="1"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</row>
    <row r="720" spans="2:13" s="15" customFormat="1"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</row>
    <row r="721" spans="2:13" s="15" customFormat="1"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</row>
    <row r="722" spans="2:13" s="15" customFormat="1"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</row>
    <row r="723" spans="2:13" s="15" customFormat="1"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</row>
    <row r="724" spans="2:13" s="15" customFormat="1"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</row>
    <row r="725" spans="2:13" s="15" customFormat="1"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</row>
    <row r="726" spans="2:13" s="15" customFormat="1"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</row>
    <row r="727" spans="2:13" s="15" customFormat="1"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</row>
    <row r="728" spans="2:13" s="15" customFormat="1"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</row>
    <row r="729" spans="2:13" s="15" customFormat="1"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</row>
    <row r="730" spans="2:13" s="15" customFormat="1"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</row>
    <row r="731" spans="2:13" s="15" customFormat="1"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</row>
    <row r="732" spans="2:13" s="15" customFormat="1"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</row>
    <row r="733" spans="2:13" s="15" customFormat="1"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</row>
    <row r="734" spans="2:13" s="15" customFormat="1"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</row>
    <row r="735" spans="2:13" s="15" customFormat="1"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</row>
    <row r="736" spans="2:13" s="15" customFormat="1"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</row>
    <row r="737" spans="2:13" s="15" customFormat="1"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</row>
    <row r="738" spans="2:13" s="15" customFormat="1"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</row>
    <row r="739" spans="2:13" s="15" customFormat="1"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</row>
    <row r="740" spans="2:13" s="15" customFormat="1"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</row>
    <row r="741" spans="2:13" s="15" customFormat="1"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</row>
    <row r="742" spans="2:13" s="15" customFormat="1"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</row>
    <row r="743" spans="2:13" s="15" customFormat="1"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</row>
    <row r="744" spans="2:13" s="15" customFormat="1"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</row>
    <row r="745" spans="2:13" s="15" customFormat="1"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</row>
    <row r="746" spans="2:13" s="15" customFormat="1"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</row>
    <row r="747" spans="2:13" s="15" customFormat="1"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</row>
    <row r="748" spans="2:13" s="15" customFormat="1"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</row>
    <row r="749" spans="2:13" s="15" customFormat="1"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</row>
    <row r="750" spans="2:13" s="15" customFormat="1"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</row>
    <row r="751" spans="2:13" s="15" customFormat="1"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</row>
    <row r="752" spans="2:13" s="15" customFormat="1"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</row>
    <row r="753" spans="2:13" s="15" customFormat="1"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</row>
    <row r="754" spans="2:13" s="15" customFormat="1"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</row>
    <row r="755" spans="2:13" s="15" customFormat="1"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</row>
    <row r="756" spans="2:13" s="15" customFormat="1"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</row>
    <row r="757" spans="2:13" s="15" customFormat="1"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</row>
    <row r="758" spans="2:13" s="15" customFormat="1"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</row>
    <row r="759" spans="2:13" s="15" customFormat="1"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</row>
    <row r="760" spans="2:13" s="15" customFormat="1"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</row>
    <row r="761" spans="2:13" s="15" customFormat="1"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</row>
    <row r="762" spans="2:13" s="15" customFormat="1"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</row>
    <row r="763" spans="2:13" s="15" customFormat="1"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</row>
    <row r="764" spans="2:13" s="15" customFormat="1"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</row>
    <row r="765" spans="2:13" s="15" customFormat="1"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</row>
    <row r="766" spans="2:13" s="15" customFormat="1"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</row>
    <row r="767" spans="2:13" s="15" customFormat="1"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</row>
    <row r="768" spans="2:13" s="15" customFormat="1"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</row>
    <row r="769" spans="2:13" s="15" customFormat="1"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</row>
    <row r="770" spans="2:13" s="15" customFormat="1"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</row>
    <row r="771" spans="2:13" s="15" customFormat="1"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</row>
    <row r="772" spans="2:13" s="15" customFormat="1"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</row>
    <row r="773" spans="2:13" s="15" customFormat="1"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</row>
    <row r="774" spans="2:13" s="15" customFormat="1"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</row>
    <row r="775" spans="2:13" s="15" customFormat="1"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</row>
    <row r="776" spans="2:13" s="15" customFormat="1"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</row>
    <row r="777" spans="2:13" s="15" customFormat="1"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</row>
    <row r="778" spans="2:13" s="15" customFormat="1"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</row>
    <row r="779" spans="2:13" s="15" customFormat="1"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</row>
    <row r="780" spans="2:13" s="15" customFormat="1"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</row>
    <row r="781" spans="2:13" s="15" customFormat="1"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</row>
    <row r="782" spans="2:13" s="15" customFormat="1"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</row>
    <row r="783" spans="2:13" s="15" customFormat="1"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</row>
    <row r="784" spans="2:13" s="15" customFormat="1"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</row>
    <row r="785" spans="2:13" s="15" customFormat="1"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</row>
    <row r="786" spans="2:13" s="15" customFormat="1"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</row>
    <row r="787" spans="2:13" s="15" customFormat="1"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</row>
    <row r="788" spans="2:13" s="15" customFormat="1"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</row>
    <row r="789" spans="2:13" s="15" customFormat="1"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</row>
    <row r="790" spans="2:13" s="15" customFormat="1"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</row>
    <row r="791" spans="2:13" s="15" customFormat="1"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</row>
    <row r="792" spans="2:13" s="15" customFormat="1"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</row>
    <row r="793" spans="2:13" s="15" customFormat="1"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</row>
    <row r="794" spans="2:13" s="15" customFormat="1"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</row>
    <row r="795" spans="2:13" s="15" customFormat="1"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</row>
    <row r="796" spans="2:13" s="15" customFormat="1"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</row>
    <row r="797" spans="2:13" s="15" customFormat="1"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</row>
    <row r="798" spans="2:13" s="15" customFormat="1"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</row>
    <row r="799" spans="2:13" s="15" customFormat="1"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</row>
    <row r="800" spans="2:13" s="15" customFormat="1"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</row>
    <row r="801" spans="2:13" s="15" customFormat="1"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</row>
    <row r="802" spans="2:13" s="15" customFormat="1"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</row>
    <row r="803" spans="2:13" s="15" customFormat="1"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</row>
    <row r="804" spans="2:13" s="15" customFormat="1"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</row>
    <row r="805" spans="2:13" s="15" customFormat="1"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</row>
    <row r="806" spans="2:13" s="15" customFormat="1"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</row>
    <row r="807" spans="2:13" s="15" customFormat="1"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</row>
    <row r="808" spans="2:13" s="15" customFormat="1"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</row>
    <row r="809" spans="2:13" s="15" customFormat="1"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</row>
    <row r="810" spans="2:13" s="15" customFormat="1"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</row>
    <row r="811" spans="2:13" s="15" customFormat="1"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</row>
    <row r="812" spans="2:13" s="15" customFormat="1"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</row>
    <row r="813" spans="2:13" s="15" customFormat="1"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</row>
    <row r="814" spans="2:13" s="15" customFormat="1"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</row>
    <row r="815" spans="2:13" s="15" customFormat="1"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</row>
    <row r="816" spans="2:13" s="15" customFormat="1"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</row>
    <row r="817" spans="2:13" s="15" customFormat="1"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</row>
    <row r="818" spans="2:13" s="15" customFormat="1"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</row>
    <row r="819" spans="2:13" s="15" customFormat="1"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</row>
    <row r="820" spans="2:13" s="15" customFormat="1"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</row>
    <row r="821" spans="2:13" s="15" customFormat="1"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</row>
    <row r="822" spans="2:13" s="15" customFormat="1"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</row>
    <row r="823" spans="2:13" s="15" customFormat="1"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</row>
    <row r="824" spans="2:13" s="15" customFormat="1"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</row>
    <row r="825" spans="2:13" s="15" customFormat="1"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</row>
    <row r="826" spans="2:13" s="15" customFormat="1"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</row>
    <row r="827" spans="2:13" s="15" customFormat="1"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</row>
    <row r="828" spans="2:13" s="15" customFormat="1"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</row>
    <row r="829" spans="2:13" s="15" customFormat="1"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</row>
    <row r="830" spans="2:13" s="15" customFormat="1"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</row>
    <row r="831" spans="2:13" s="15" customFormat="1"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</row>
    <row r="832" spans="2:13" s="15" customFormat="1"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</row>
    <row r="833" spans="2:13" s="15" customFormat="1"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</row>
    <row r="834" spans="2:13" s="15" customFormat="1"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</row>
    <row r="835" spans="2:13" s="15" customFormat="1"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</row>
    <row r="836" spans="2:13" s="15" customFormat="1"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</row>
    <row r="837" spans="2:13" s="15" customFormat="1"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</row>
    <row r="838" spans="2:13" s="15" customFormat="1"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</row>
    <row r="839" spans="2:13" s="15" customFormat="1"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</row>
    <row r="840" spans="2:13" s="15" customFormat="1"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</row>
    <row r="841" spans="2:13" s="15" customFormat="1"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</row>
    <row r="842" spans="2:13" s="15" customFormat="1"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</row>
    <row r="843" spans="2:13" s="15" customFormat="1"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</row>
    <row r="844" spans="2:13" s="15" customFormat="1"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</row>
    <row r="845" spans="2:13" s="15" customFormat="1"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</row>
    <row r="846" spans="2:13" s="15" customFormat="1"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</row>
    <row r="847" spans="2:13" s="15" customFormat="1"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</row>
    <row r="848" spans="2:13" s="15" customFormat="1"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</row>
    <row r="849" spans="2:13" s="15" customFormat="1"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</row>
    <row r="850" spans="2:13" s="15" customFormat="1"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</row>
    <row r="851" spans="2:13" s="15" customFormat="1"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</row>
    <row r="852" spans="2:13" s="15" customFormat="1"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</row>
    <row r="853" spans="2:13" s="15" customFormat="1"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</row>
    <row r="854" spans="2:13" s="15" customFormat="1"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</row>
    <row r="855" spans="2:13" s="15" customFormat="1"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</row>
    <row r="856" spans="2:13" s="15" customFormat="1"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</row>
    <row r="857" spans="2:13" s="15" customFormat="1"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</row>
    <row r="858" spans="2:13" s="15" customFormat="1"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</row>
    <row r="859" spans="2:13" s="15" customFormat="1"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</row>
    <row r="860" spans="2:13" s="15" customFormat="1"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</row>
    <row r="861" spans="2:13" s="15" customFormat="1"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</row>
    <row r="862" spans="2:13" s="15" customFormat="1"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</row>
    <row r="863" spans="2:13" s="15" customFormat="1"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</row>
    <row r="864" spans="2:13" s="15" customFormat="1"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</row>
    <row r="865" spans="2:13" s="15" customFormat="1"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</row>
    <row r="866" spans="2:13" s="15" customFormat="1"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</row>
    <row r="867" spans="2:13" s="15" customFormat="1"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</row>
    <row r="868" spans="2:13" s="15" customFormat="1"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</row>
    <row r="869" spans="2:13" s="15" customFormat="1"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</row>
    <row r="870" spans="2:13" s="15" customFormat="1"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</row>
    <row r="871" spans="2:13" s="15" customFormat="1"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</row>
    <row r="872" spans="2:13" s="15" customFormat="1"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</row>
    <row r="873" spans="2:13" s="15" customFormat="1"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</row>
    <row r="874" spans="2:13" s="15" customFormat="1"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</row>
    <row r="875" spans="2:13" s="15" customFormat="1"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</row>
    <row r="876" spans="2:13" s="15" customFormat="1"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</row>
    <row r="877" spans="2:13" s="15" customFormat="1"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</row>
    <row r="878" spans="2:13" s="15" customFormat="1"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</row>
    <row r="879" spans="2:13" s="15" customFormat="1"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</row>
    <row r="880" spans="2:13" s="15" customFormat="1"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</row>
    <row r="881" spans="2:13" s="15" customFormat="1"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</row>
    <row r="882" spans="2:13" s="15" customFormat="1"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</row>
    <row r="883" spans="2:13" s="15" customFormat="1"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</row>
    <row r="884" spans="2:13" s="15" customFormat="1"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</row>
    <row r="885" spans="2:13" s="15" customFormat="1"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</row>
    <row r="886" spans="2:13" s="15" customFormat="1"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</row>
    <row r="887" spans="2:13" s="15" customFormat="1"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</row>
    <row r="888" spans="2:13" s="15" customFormat="1"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</row>
    <row r="889" spans="2:13" s="15" customFormat="1"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</row>
    <row r="890" spans="2:13" s="15" customFormat="1"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</row>
    <row r="891" spans="2:13" s="15" customFormat="1"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</row>
    <row r="892" spans="2:13" s="15" customFormat="1"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</row>
    <row r="893" spans="2:13" s="15" customFormat="1"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</row>
    <row r="894" spans="2:13" s="15" customFormat="1"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</row>
    <row r="895" spans="2:13" s="15" customFormat="1"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</row>
    <row r="896" spans="2:13" s="15" customFormat="1"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</row>
    <row r="897" spans="2:13" s="15" customFormat="1"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</row>
    <row r="898" spans="2:13" s="15" customFormat="1"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</row>
    <row r="899" spans="2:13" s="15" customFormat="1"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</row>
    <row r="900" spans="2:13" s="15" customFormat="1"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</row>
    <row r="901" spans="2:13" s="15" customFormat="1"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</row>
    <row r="902" spans="2:13" s="15" customFormat="1"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</row>
    <row r="903" spans="2:13" s="15" customFormat="1"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</row>
    <row r="904" spans="2:13" s="15" customFormat="1"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</row>
    <row r="905" spans="2:13" s="15" customFormat="1"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</row>
    <row r="906" spans="2:13" s="15" customFormat="1"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</row>
    <row r="907" spans="2:13" s="15" customFormat="1"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</row>
    <row r="908" spans="2:13" s="15" customFormat="1"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</row>
    <row r="909" spans="2:13" s="15" customFormat="1"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</row>
    <row r="910" spans="2:13" s="15" customFormat="1"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</row>
    <row r="911" spans="2:13" s="15" customFormat="1"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</row>
    <row r="912" spans="2:13" s="15" customFormat="1"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</row>
    <row r="913" spans="2:13" s="15" customFormat="1"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</row>
    <row r="914" spans="2:13" s="15" customFormat="1"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</row>
    <row r="915" spans="2:13" s="15" customFormat="1"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</row>
    <row r="916" spans="2:13" s="15" customFormat="1"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</row>
    <row r="917" spans="2:13" s="15" customFormat="1"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</row>
    <row r="918" spans="2:13" s="15" customFormat="1"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</row>
    <row r="919" spans="2:13" s="15" customFormat="1"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</row>
    <row r="920" spans="2:13" s="15" customFormat="1"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</row>
    <row r="921" spans="2:13" s="15" customFormat="1"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</row>
    <row r="922" spans="2:13" s="15" customFormat="1"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</row>
    <row r="923" spans="2:13" s="15" customFormat="1"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</row>
    <row r="924" spans="2:13" s="15" customFormat="1"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</row>
    <row r="925" spans="2:13" s="15" customFormat="1"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</row>
    <row r="926" spans="2:13" s="15" customFormat="1"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</row>
    <row r="927" spans="2:13" s="15" customFormat="1"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</row>
    <row r="928" spans="2:13" s="15" customFormat="1"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</row>
    <row r="929" spans="2:13" s="15" customFormat="1"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</row>
    <row r="930" spans="2:13" s="15" customFormat="1"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</row>
    <row r="931" spans="2:13" s="15" customFormat="1"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</row>
    <row r="932" spans="2:13" s="15" customFormat="1"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</row>
    <row r="933" spans="2:13" s="15" customFormat="1"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</row>
    <row r="934" spans="2:13" s="15" customFormat="1"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</row>
    <row r="935" spans="2:13" s="15" customFormat="1"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</row>
    <row r="936" spans="2:13" s="15" customFormat="1"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</row>
    <row r="937" spans="2:13" s="15" customFormat="1"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</row>
    <row r="938" spans="2:13" s="15" customFormat="1"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</row>
    <row r="939" spans="2:13" s="15" customFormat="1"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</row>
    <row r="940" spans="2:13" s="15" customFormat="1"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</row>
    <row r="941" spans="2:13" s="15" customFormat="1"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</row>
    <row r="942" spans="2:13" s="15" customFormat="1"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</row>
    <row r="943" spans="2:13" s="15" customFormat="1"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</row>
    <row r="944" spans="2:13" s="15" customFormat="1"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</row>
    <row r="945" spans="2:13" s="15" customFormat="1"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</row>
    <row r="946" spans="2:13" s="15" customFormat="1"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</row>
    <row r="947" spans="2:13" s="15" customFormat="1"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</row>
    <row r="948" spans="2:13" s="15" customFormat="1"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</row>
    <row r="949" spans="2:13" s="15" customFormat="1"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</row>
    <row r="950" spans="2:13" s="15" customFormat="1"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</row>
    <row r="951" spans="2:13" s="15" customFormat="1"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</row>
    <row r="952" spans="2:13" s="15" customFormat="1"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</row>
    <row r="953" spans="2:13" s="15" customFormat="1"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</row>
    <row r="954" spans="2:13" s="15" customFormat="1"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</row>
    <row r="955" spans="2:13" s="15" customFormat="1"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</row>
    <row r="956" spans="2:13" s="15" customFormat="1"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</row>
    <row r="957" spans="2:13" s="15" customFormat="1"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</row>
    <row r="958" spans="2:13" s="15" customFormat="1"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</row>
    <row r="959" spans="2:13" s="15" customFormat="1"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</row>
    <row r="960" spans="2:13" s="15" customFormat="1"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</row>
    <row r="961" spans="2:13" s="15" customFormat="1"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</row>
    <row r="962" spans="2:13" s="15" customFormat="1"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</row>
    <row r="963" spans="2:13" s="15" customFormat="1"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</row>
    <row r="964" spans="2:13" s="15" customFormat="1"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</row>
    <row r="965" spans="2:13" s="15" customFormat="1"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</row>
    <row r="966" spans="2:13" s="15" customFormat="1"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</row>
    <row r="967" spans="2:13" s="15" customFormat="1"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</row>
    <row r="968" spans="2:13" s="15" customFormat="1"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</row>
    <row r="969" spans="2:13" s="15" customFormat="1"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</row>
    <row r="970" spans="2:13" s="15" customFormat="1"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</row>
    <row r="971" spans="2:13" s="15" customFormat="1"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</row>
    <row r="972" spans="2:13" s="15" customFormat="1"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</row>
    <row r="973" spans="2:13" s="15" customFormat="1"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</row>
    <row r="974" spans="2:13" s="15" customFormat="1"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</row>
    <row r="975" spans="2:13" s="15" customFormat="1"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</row>
    <row r="976" spans="2:13" s="15" customFormat="1"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</row>
    <row r="977" spans="2:13" s="15" customFormat="1"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</row>
    <row r="978" spans="2:13" s="15" customFormat="1"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</row>
    <row r="979" spans="2:13" s="15" customFormat="1"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</row>
    <row r="980" spans="2:13" s="15" customFormat="1"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</row>
    <row r="981" spans="2:13" s="15" customFormat="1"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</row>
    <row r="982" spans="2:13" s="15" customFormat="1"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</row>
    <row r="983" spans="2:13" s="15" customFormat="1"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</row>
    <row r="984" spans="2:13" s="15" customFormat="1"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</row>
    <row r="985" spans="2:13" s="15" customFormat="1"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</row>
    <row r="986" spans="2:13" s="15" customFormat="1"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</row>
    <row r="987" spans="2:13" s="15" customFormat="1"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</row>
    <row r="988" spans="2:13" s="15" customFormat="1"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</row>
    <row r="989" spans="2:13" s="15" customFormat="1"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</row>
    <row r="990" spans="2:13" s="15" customFormat="1"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</row>
    <row r="991" spans="2:13" s="15" customFormat="1"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</row>
    <row r="992" spans="2:13" s="15" customFormat="1"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</row>
    <row r="993" spans="2:13" s="15" customFormat="1"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</row>
    <row r="994" spans="2:13" s="15" customFormat="1"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</row>
    <row r="995" spans="2:13" s="15" customFormat="1"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</row>
    <row r="996" spans="2:13" s="15" customFormat="1"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</row>
    <row r="997" spans="2:13" s="15" customFormat="1"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</row>
    <row r="998" spans="2:13" s="15" customFormat="1"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</row>
    <row r="999" spans="2:13" s="15" customFormat="1"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</row>
    <row r="1000" spans="2:13" s="15" customFormat="1"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</row>
    <row r="1001" spans="2:13" s="15" customFormat="1"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</row>
    <row r="1002" spans="2:13" s="15" customFormat="1"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</row>
    <row r="1003" spans="2:13" s="15" customFormat="1"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</row>
    <row r="1004" spans="2:13" s="15" customFormat="1"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</row>
    <row r="1005" spans="2:13" s="15" customFormat="1"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</row>
    <row r="1006" spans="2:13" s="15" customFormat="1"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</row>
    <row r="1007" spans="2:13" s="15" customFormat="1"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</row>
    <row r="1008" spans="2:13" s="15" customFormat="1"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</row>
    <row r="1009" spans="2:13" s="15" customFormat="1"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</row>
    <row r="1010" spans="2:13" s="15" customFormat="1"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</row>
    <row r="1011" spans="2:13" s="15" customFormat="1"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</row>
    <row r="1012" spans="2:13" s="15" customFormat="1"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</row>
    <row r="1013" spans="2:13" s="15" customFormat="1"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</row>
    <row r="1014" spans="2:13" s="15" customFormat="1"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</row>
    <row r="1015" spans="2:13" s="15" customFormat="1"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</row>
    <row r="1016" spans="2:13" s="15" customFormat="1"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56"/>
    </row>
    <row r="1017" spans="2:13" s="15" customFormat="1"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M1017" s="56"/>
    </row>
    <row r="1018" spans="2:13" s="15" customFormat="1"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M1018" s="56"/>
    </row>
    <row r="1019" spans="2:13" s="15" customFormat="1"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M1019" s="56"/>
    </row>
    <row r="1020" spans="2:13" s="15" customFormat="1"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M1020" s="56"/>
    </row>
    <row r="1021" spans="2:13" s="15" customFormat="1"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M1021" s="56"/>
    </row>
    <row r="1022" spans="2:13" s="15" customFormat="1">
      <c r="B1022" s="56"/>
      <c r="C1022" s="56"/>
      <c r="D1022" s="56"/>
      <c r="E1022" s="56"/>
      <c r="F1022" s="56"/>
      <c r="G1022" s="56"/>
      <c r="H1022" s="56"/>
      <c r="I1022" s="56"/>
      <c r="J1022" s="56"/>
      <c r="K1022" s="56"/>
      <c r="L1022" s="56"/>
      <c r="M1022" s="56"/>
    </row>
    <row r="1023" spans="2:13" s="15" customFormat="1">
      <c r="B1023" s="56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M1023" s="56"/>
    </row>
    <row r="1024" spans="2:13" s="15" customFormat="1">
      <c r="B1024" s="56"/>
      <c r="C1024" s="56"/>
      <c r="D1024" s="56"/>
      <c r="E1024" s="56"/>
      <c r="F1024" s="56"/>
      <c r="G1024" s="56"/>
      <c r="H1024" s="56"/>
      <c r="I1024" s="56"/>
      <c r="J1024" s="56"/>
      <c r="K1024" s="56"/>
      <c r="L1024" s="56"/>
      <c r="M1024" s="56"/>
    </row>
    <row r="1025" spans="2:13" s="15" customFormat="1">
      <c r="B1025" s="56"/>
      <c r="C1025" s="56"/>
      <c r="D1025" s="56"/>
      <c r="E1025" s="56"/>
      <c r="F1025" s="56"/>
      <c r="G1025" s="56"/>
      <c r="H1025" s="56"/>
      <c r="I1025" s="56"/>
      <c r="J1025" s="56"/>
      <c r="K1025" s="56"/>
      <c r="L1025" s="56"/>
      <c r="M1025" s="56"/>
    </row>
    <row r="1026" spans="2:13" s="15" customFormat="1">
      <c r="B1026" s="56"/>
      <c r="C1026" s="56"/>
      <c r="D1026" s="56"/>
      <c r="E1026" s="56"/>
      <c r="F1026" s="56"/>
      <c r="G1026" s="56"/>
      <c r="H1026" s="56"/>
      <c r="I1026" s="56"/>
      <c r="J1026" s="56"/>
      <c r="K1026" s="56"/>
      <c r="L1026" s="56"/>
      <c r="M1026" s="56"/>
    </row>
    <row r="1027" spans="2:13" s="15" customFormat="1">
      <c r="B1027" s="56"/>
      <c r="C1027" s="56"/>
      <c r="D1027" s="56"/>
      <c r="E1027" s="56"/>
      <c r="F1027" s="56"/>
      <c r="G1027" s="56"/>
      <c r="H1027" s="56"/>
      <c r="I1027" s="56"/>
      <c r="J1027" s="56"/>
      <c r="K1027" s="56"/>
      <c r="L1027" s="56"/>
      <c r="M1027" s="56"/>
    </row>
    <row r="1028" spans="2:13" s="15" customFormat="1">
      <c r="B1028" s="56"/>
      <c r="C1028" s="56"/>
      <c r="D1028" s="56"/>
      <c r="E1028" s="56"/>
      <c r="F1028" s="56"/>
      <c r="G1028" s="56"/>
      <c r="H1028" s="56"/>
      <c r="I1028" s="56"/>
      <c r="J1028" s="56"/>
      <c r="K1028" s="56"/>
      <c r="L1028" s="56"/>
      <c r="M1028" s="56"/>
    </row>
    <row r="1029" spans="2:13" s="15" customFormat="1">
      <c r="B1029" s="56"/>
      <c r="C1029" s="56"/>
      <c r="D1029" s="56"/>
      <c r="E1029" s="56"/>
      <c r="F1029" s="56"/>
      <c r="G1029" s="56"/>
      <c r="H1029" s="56"/>
      <c r="I1029" s="56"/>
      <c r="J1029" s="56"/>
      <c r="K1029" s="56"/>
      <c r="L1029" s="56"/>
      <c r="M1029" s="56"/>
    </row>
    <row r="1030" spans="2:13" s="15" customFormat="1">
      <c r="B1030" s="56"/>
      <c r="C1030" s="56"/>
      <c r="D1030" s="56"/>
      <c r="E1030" s="56"/>
      <c r="F1030" s="56"/>
      <c r="G1030" s="56"/>
      <c r="H1030" s="56"/>
      <c r="I1030" s="56"/>
      <c r="J1030" s="56"/>
      <c r="K1030" s="56"/>
      <c r="L1030" s="56"/>
      <c r="M1030" s="56"/>
    </row>
    <row r="1031" spans="2:13" s="15" customFormat="1">
      <c r="B1031" s="56"/>
      <c r="C1031" s="56"/>
      <c r="D1031" s="56"/>
      <c r="E1031" s="56"/>
      <c r="F1031" s="56"/>
      <c r="G1031" s="56"/>
      <c r="H1031" s="56"/>
      <c r="I1031" s="56"/>
      <c r="J1031" s="56"/>
      <c r="K1031" s="56"/>
      <c r="L1031" s="56"/>
      <c r="M1031" s="56"/>
    </row>
    <row r="1032" spans="2:13" s="15" customFormat="1">
      <c r="B1032" s="56"/>
      <c r="C1032" s="56"/>
      <c r="D1032" s="56"/>
      <c r="E1032" s="56"/>
      <c r="F1032" s="56"/>
      <c r="G1032" s="56"/>
      <c r="H1032" s="56"/>
      <c r="I1032" s="56"/>
      <c r="J1032" s="56"/>
      <c r="K1032" s="56"/>
      <c r="L1032" s="56"/>
      <c r="M1032" s="56"/>
    </row>
    <row r="1033" spans="2:13" s="15" customFormat="1">
      <c r="B1033" s="56"/>
      <c r="C1033" s="56"/>
      <c r="D1033" s="56"/>
      <c r="E1033" s="56"/>
      <c r="F1033" s="56"/>
      <c r="G1033" s="56"/>
      <c r="H1033" s="56"/>
      <c r="I1033" s="56"/>
      <c r="J1033" s="56"/>
      <c r="K1033" s="56"/>
      <c r="L1033" s="56"/>
      <c r="M1033" s="56"/>
    </row>
    <row r="1034" spans="2:13" s="15" customFormat="1">
      <c r="B1034" s="56"/>
      <c r="C1034" s="56"/>
      <c r="D1034" s="56"/>
      <c r="E1034" s="56"/>
      <c r="F1034" s="56"/>
      <c r="G1034" s="56"/>
      <c r="H1034" s="56"/>
      <c r="I1034" s="56"/>
      <c r="J1034" s="56"/>
      <c r="K1034" s="56"/>
      <c r="L1034" s="56"/>
      <c r="M1034" s="56"/>
    </row>
    <row r="1035" spans="2:13" s="15" customFormat="1">
      <c r="B1035" s="56"/>
      <c r="C1035" s="56"/>
      <c r="D1035" s="56"/>
      <c r="E1035" s="56"/>
      <c r="F1035" s="56"/>
      <c r="G1035" s="56"/>
      <c r="H1035" s="56"/>
      <c r="I1035" s="56"/>
      <c r="J1035" s="56"/>
      <c r="K1035" s="56"/>
      <c r="L1035" s="56"/>
      <c r="M1035" s="56"/>
    </row>
    <row r="1036" spans="2:13" s="15" customFormat="1">
      <c r="B1036" s="56"/>
      <c r="C1036" s="56"/>
      <c r="D1036" s="56"/>
      <c r="E1036" s="56"/>
      <c r="F1036" s="56"/>
      <c r="G1036" s="56"/>
      <c r="H1036" s="56"/>
      <c r="I1036" s="56"/>
      <c r="J1036" s="56"/>
      <c r="K1036" s="56"/>
      <c r="L1036" s="56"/>
      <c r="M1036" s="56"/>
    </row>
    <row r="1037" spans="2:13" s="15" customFormat="1">
      <c r="B1037" s="56"/>
      <c r="C1037" s="56"/>
      <c r="D1037" s="56"/>
      <c r="E1037" s="56"/>
      <c r="F1037" s="56"/>
      <c r="G1037" s="56"/>
      <c r="H1037" s="56"/>
      <c r="I1037" s="56"/>
      <c r="J1037" s="56"/>
      <c r="K1037" s="56"/>
      <c r="L1037" s="56"/>
      <c r="M1037" s="56"/>
    </row>
    <row r="1038" spans="2:13" s="15" customFormat="1">
      <c r="B1038" s="56"/>
      <c r="C1038" s="56"/>
      <c r="D1038" s="56"/>
      <c r="E1038" s="56"/>
      <c r="F1038" s="56"/>
      <c r="G1038" s="56"/>
      <c r="H1038" s="56"/>
      <c r="I1038" s="56"/>
      <c r="J1038" s="56"/>
      <c r="K1038" s="56"/>
      <c r="L1038" s="56"/>
      <c r="M1038" s="56"/>
    </row>
    <row r="1039" spans="2:13" s="15" customFormat="1">
      <c r="B1039" s="56"/>
      <c r="C1039" s="56"/>
      <c r="D1039" s="56"/>
      <c r="E1039" s="56"/>
      <c r="F1039" s="56"/>
      <c r="G1039" s="56"/>
      <c r="H1039" s="56"/>
      <c r="I1039" s="56"/>
      <c r="J1039" s="56"/>
      <c r="K1039" s="56"/>
      <c r="L1039" s="56"/>
      <c r="M1039" s="56"/>
    </row>
    <row r="1040" spans="2:13" s="15" customFormat="1">
      <c r="B1040" s="56"/>
      <c r="C1040" s="56"/>
      <c r="D1040" s="56"/>
      <c r="E1040" s="56"/>
      <c r="F1040" s="56"/>
      <c r="G1040" s="56"/>
      <c r="H1040" s="56"/>
      <c r="I1040" s="56"/>
      <c r="J1040" s="56"/>
      <c r="K1040" s="56"/>
      <c r="L1040" s="56"/>
      <c r="M1040" s="56"/>
    </row>
    <row r="1041" spans="2:13" s="15" customFormat="1">
      <c r="B1041" s="56"/>
      <c r="C1041" s="56"/>
      <c r="D1041" s="56"/>
      <c r="E1041" s="56"/>
      <c r="F1041" s="56"/>
      <c r="G1041" s="56"/>
      <c r="H1041" s="56"/>
      <c r="I1041" s="56"/>
      <c r="J1041" s="56"/>
      <c r="K1041" s="56"/>
      <c r="L1041" s="56"/>
      <c r="M1041" s="56"/>
    </row>
    <row r="1042" spans="2:13" s="15" customFormat="1">
      <c r="B1042" s="56"/>
      <c r="C1042" s="56"/>
      <c r="D1042" s="56"/>
      <c r="E1042" s="56"/>
      <c r="F1042" s="56"/>
      <c r="G1042" s="56"/>
      <c r="H1042" s="56"/>
      <c r="I1042" s="56"/>
      <c r="J1042" s="56"/>
      <c r="K1042" s="56"/>
      <c r="L1042" s="56"/>
      <c r="M1042" s="56"/>
    </row>
    <row r="1043" spans="2:13" s="15" customFormat="1">
      <c r="B1043" s="56"/>
      <c r="C1043" s="56"/>
      <c r="D1043" s="56"/>
      <c r="E1043" s="56"/>
      <c r="F1043" s="56"/>
      <c r="G1043" s="56"/>
      <c r="H1043" s="56"/>
      <c r="I1043" s="56"/>
      <c r="J1043" s="56"/>
      <c r="K1043" s="56"/>
      <c r="L1043" s="56"/>
      <c r="M1043" s="56"/>
    </row>
    <row r="1044" spans="2:13" s="15" customFormat="1">
      <c r="B1044" s="56"/>
      <c r="C1044" s="56"/>
      <c r="D1044" s="56"/>
      <c r="E1044" s="56"/>
      <c r="F1044" s="56"/>
      <c r="G1044" s="56"/>
      <c r="H1044" s="56"/>
      <c r="I1044" s="56"/>
      <c r="J1044" s="56"/>
      <c r="K1044" s="56"/>
      <c r="L1044" s="56"/>
      <c r="M1044" s="56"/>
    </row>
    <row r="1045" spans="2:13" s="15" customFormat="1">
      <c r="B1045" s="56"/>
      <c r="C1045" s="56"/>
      <c r="D1045" s="56"/>
      <c r="E1045" s="56"/>
      <c r="F1045" s="56"/>
      <c r="G1045" s="56"/>
      <c r="H1045" s="56"/>
      <c r="I1045" s="56"/>
      <c r="J1045" s="56"/>
      <c r="K1045" s="56"/>
      <c r="L1045" s="56"/>
      <c r="M1045" s="56"/>
    </row>
    <row r="1046" spans="2:13" s="15" customFormat="1">
      <c r="B1046" s="56"/>
      <c r="C1046" s="56"/>
      <c r="D1046" s="56"/>
      <c r="E1046" s="56"/>
      <c r="F1046" s="56"/>
      <c r="G1046" s="56"/>
      <c r="H1046" s="56"/>
      <c r="I1046" s="56"/>
      <c r="J1046" s="56"/>
      <c r="K1046" s="56"/>
      <c r="L1046" s="56"/>
      <c r="M1046" s="56"/>
    </row>
    <row r="1047" spans="2:13" s="15" customFormat="1">
      <c r="B1047" s="56"/>
      <c r="C1047" s="56"/>
      <c r="D1047" s="56"/>
      <c r="E1047" s="56"/>
      <c r="F1047" s="56"/>
      <c r="G1047" s="56"/>
      <c r="H1047" s="56"/>
      <c r="I1047" s="56"/>
      <c r="J1047" s="56"/>
      <c r="K1047" s="56"/>
      <c r="L1047" s="56"/>
      <c r="M1047" s="56"/>
    </row>
    <row r="1048" spans="2:13" s="15" customFormat="1">
      <c r="B1048" s="56"/>
      <c r="C1048" s="56"/>
      <c r="D1048" s="56"/>
      <c r="E1048" s="56"/>
      <c r="F1048" s="56"/>
      <c r="G1048" s="56"/>
      <c r="H1048" s="56"/>
      <c r="I1048" s="56"/>
      <c r="J1048" s="56"/>
      <c r="K1048" s="56"/>
      <c r="L1048" s="56"/>
      <c r="M1048" s="56"/>
    </row>
    <row r="1049" spans="2:13" s="15" customFormat="1">
      <c r="B1049" s="56"/>
      <c r="C1049" s="56"/>
      <c r="D1049" s="56"/>
      <c r="E1049" s="56"/>
      <c r="F1049" s="56"/>
      <c r="G1049" s="56"/>
      <c r="H1049" s="56"/>
      <c r="I1049" s="56"/>
      <c r="J1049" s="56"/>
      <c r="K1049" s="56"/>
      <c r="L1049" s="56"/>
      <c r="M1049" s="56"/>
    </row>
    <row r="1050" spans="2:13" s="15" customFormat="1">
      <c r="B1050" s="56"/>
      <c r="C1050" s="56"/>
      <c r="D1050" s="56"/>
      <c r="E1050" s="56"/>
      <c r="F1050" s="56"/>
      <c r="G1050" s="56"/>
      <c r="H1050" s="56"/>
      <c r="I1050" s="56"/>
      <c r="J1050" s="56"/>
      <c r="K1050" s="56"/>
      <c r="L1050" s="56"/>
      <c r="M1050" s="56"/>
    </row>
    <row r="1051" spans="2:13" s="15" customFormat="1">
      <c r="B1051" s="56"/>
      <c r="C1051" s="56"/>
      <c r="D1051" s="56"/>
      <c r="E1051" s="56"/>
      <c r="F1051" s="56"/>
      <c r="G1051" s="56"/>
      <c r="H1051" s="56"/>
      <c r="I1051" s="56"/>
      <c r="J1051" s="56"/>
      <c r="K1051" s="56"/>
      <c r="L1051" s="56"/>
      <c r="M1051" s="56"/>
    </row>
    <row r="1052" spans="2:13" s="15" customFormat="1">
      <c r="B1052" s="56"/>
      <c r="C1052" s="56"/>
      <c r="D1052" s="56"/>
      <c r="E1052" s="56"/>
      <c r="F1052" s="56"/>
      <c r="G1052" s="56"/>
      <c r="H1052" s="56"/>
      <c r="I1052" s="56"/>
      <c r="J1052" s="56"/>
      <c r="K1052" s="56"/>
      <c r="L1052" s="56"/>
      <c r="M1052" s="56"/>
    </row>
    <row r="1053" spans="2:13" s="15" customFormat="1">
      <c r="B1053" s="56"/>
      <c r="C1053" s="56"/>
      <c r="D1053" s="56"/>
      <c r="E1053" s="56"/>
      <c r="F1053" s="56"/>
      <c r="G1053" s="56"/>
      <c r="H1053" s="56"/>
      <c r="I1053" s="56"/>
      <c r="J1053" s="56"/>
      <c r="K1053" s="56"/>
      <c r="L1053" s="56"/>
      <c r="M1053" s="56"/>
    </row>
    <row r="1054" spans="2:13" s="15" customFormat="1">
      <c r="B1054" s="56"/>
      <c r="C1054" s="56"/>
      <c r="D1054" s="56"/>
      <c r="E1054" s="56"/>
      <c r="F1054" s="56"/>
      <c r="G1054" s="56"/>
      <c r="H1054" s="56"/>
      <c r="I1054" s="56"/>
      <c r="J1054" s="56"/>
      <c r="K1054" s="56"/>
      <c r="L1054" s="56"/>
      <c r="M1054" s="56"/>
    </row>
    <row r="1055" spans="2:13" s="15" customFormat="1">
      <c r="B1055" s="56"/>
      <c r="C1055" s="56"/>
      <c r="D1055" s="56"/>
      <c r="E1055" s="56"/>
      <c r="F1055" s="56"/>
      <c r="G1055" s="56"/>
      <c r="H1055" s="56"/>
      <c r="I1055" s="56"/>
      <c r="J1055" s="56"/>
      <c r="K1055" s="56"/>
      <c r="L1055" s="56"/>
      <c r="M1055" s="56"/>
    </row>
    <row r="1056" spans="2:13" s="15" customFormat="1">
      <c r="B1056" s="56"/>
      <c r="C1056" s="56"/>
      <c r="D1056" s="56"/>
      <c r="E1056" s="56"/>
      <c r="F1056" s="56"/>
      <c r="G1056" s="56"/>
      <c r="H1056" s="56"/>
      <c r="I1056" s="56"/>
      <c r="J1056" s="56"/>
      <c r="K1056" s="56"/>
      <c r="L1056" s="56"/>
      <c r="M1056" s="56"/>
    </row>
    <row r="1057" spans="2:13" s="15" customFormat="1">
      <c r="B1057" s="56"/>
      <c r="C1057" s="56"/>
      <c r="D1057" s="56"/>
      <c r="E1057" s="56"/>
      <c r="F1057" s="56"/>
      <c r="G1057" s="56"/>
      <c r="H1057" s="56"/>
      <c r="I1057" s="56"/>
      <c r="J1057" s="56"/>
      <c r="K1057" s="56"/>
      <c r="L1057" s="56"/>
      <c r="M1057" s="56"/>
    </row>
    <row r="1058" spans="2:13" s="15" customFormat="1">
      <c r="B1058" s="56"/>
      <c r="C1058" s="56"/>
      <c r="D1058" s="56"/>
      <c r="E1058" s="56"/>
      <c r="F1058" s="56"/>
      <c r="G1058" s="56"/>
      <c r="H1058" s="56"/>
      <c r="I1058" s="56"/>
      <c r="J1058" s="56"/>
      <c r="K1058" s="56"/>
      <c r="L1058" s="56"/>
      <c r="M1058" s="56"/>
    </row>
    <row r="1059" spans="2:13" s="15" customFormat="1">
      <c r="B1059" s="56"/>
      <c r="C1059" s="56"/>
      <c r="D1059" s="56"/>
      <c r="E1059" s="56"/>
      <c r="F1059" s="56"/>
      <c r="G1059" s="56"/>
      <c r="H1059" s="56"/>
      <c r="I1059" s="56"/>
      <c r="J1059" s="56"/>
      <c r="K1059" s="56"/>
      <c r="L1059" s="56"/>
      <c r="M1059" s="56"/>
    </row>
    <row r="1060" spans="2:13" s="15" customFormat="1">
      <c r="B1060" s="56"/>
      <c r="C1060" s="56"/>
      <c r="D1060" s="56"/>
      <c r="E1060" s="56"/>
      <c r="F1060" s="56"/>
      <c r="G1060" s="56"/>
      <c r="H1060" s="56"/>
      <c r="I1060" s="56"/>
      <c r="J1060" s="56"/>
      <c r="K1060" s="56"/>
      <c r="L1060" s="56"/>
      <c r="M1060" s="56"/>
    </row>
    <row r="1061" spans="2:13" s="15" customFormat="1">
      <c r="B1061" s="56"/>
      <c r="C1061" s="56"/>
      <c r="D1061" s="56"/>
      <c r="E1061" s="56"/>
      <c r="F1061" s="56"/>
      <c r="G1061" s="56"/>
      <c r="H1061" s="56"/>
      <c r="I1061" s="56"/>
      <c r="J1061" s="56"/>
      <c r="K1061" s="56"/>
      <c r="L1061" s="56"/>
      <c r="M1061" s="56"/>
    </row>
    <row r="1062" spans="2:13" s="15" customFormat="1">
      <c r="B1062" s="56"/>
      <c r="C1062" s="56"/>
      <c r="D1062" s="56"/>
      <c r="E1062" s="56"/>
      <c r="F1062" s="56"/>
      <c r="G1062" s="56"/>
      <c r="H1062" s="56"/>
      <c r="I1062" s="56"/>
      <c r="J1062" s="56"/>
      <c r="K1062" s="56"/>
      <c r="L1062" s="56"/>
      <c r="M1062" s="56"/>
    </row>
    <row r="1063" spans="2:13" s="15" customFormat="1">
      <c r="B1063" s="56"/>
      <c r="C1063" s="56"/>
      <c r="D1063" s="56"/>
      <c r="E1063" s="56"/>
      <c r="F1063" s="56"/>
      <c r="G1063" s="56"/>
      <c r="H1063" s="56"/>
      <c r="I1063" s="56"/>
      <c r="J1063" s="56"/>
      <c r="K1063" s="56"/>
      <c r="L1063" s="56"/>
      <c r="M1063" s="56"/>
    </row>
    <row r="1064" spans="2:13" s="15" customFormat="1">
      <c r="B1064" s="56"/>
      <c r="C1064" s="56"/>
      <c r="D1064" s="56"/>
      <c r="E1064" s="56"/>
      <c r="F1064" s="56"/>
      <c r="G1064" s="56"/>
      <c r="H1064" s="56"/>
      <c r="I1064" s="56"/>
      <c r="J1064" s="56"/>
      <c r="K1064" s="56"/>
      <c r="L1064" s="56"/>
      <c r="M1064" s="56"/>
    </row>
    <row r="1065" spans="2:13" s="15" customFormat="1">
      <c r="B1065" s="56"/>
      <c r="C1065" s="56"/>
      <c r="D1065" s="56"/>
      <c r="E1065" s="56"/>
      <c r="F1065" s="56"/>
      <c r="G1065" s="56"/>
      <c r="H1065" s="56"/>
      <c r="I1065" s="56"/>
      <c r="J1065" s="56"/>
      <c r="K1065" s="56"/>
      <c r="L1065" s="56"/>
      <c r="M1065" s="56"/>
    </row>
    <row r="1066" spans="2:13" s="15" customFormat="1">
      <c r="B1066" s="56"/>
      <c r="C1066" s="56"/>
      <c r="D1066" s="56"/>
      <c r="E1066" s="56"/>
      <c r="F1066" s="56"/>
      <c r="G1066" s="56"/>
      <c r="H1066" s="56"/>
      <c r="I1066" s="56"/>
      <c r="J1066" s="56"/>
      <c r="K1066" s="56"/>
      <c r="L1066" s="56"/>
      <c r="M1066" s="56"/>
    </row>
    <row r="1067" spans="2:13" s="15" customFormat="1">
      <c r="B1067" s="56"/>
      <c r="C1067" s="56"/>
      <c r="D1067" s="56"/>
      <c r="E1067" s="56"/>
      <c r="F1067" s="56"/>
      <c r="G1067" s="56"/>
      <c r="H1067" s="56"/>
      <c r="I1067" s="56"/>
      <c r="J1067" s="56"/>
      <c r="K1067" s="56"/>
      <c r="L1067" s="56"/>
      <c r="M1067" s="56"/>
    </row>
    <row r="1068" spans="2:13" s="15" customFormat="1">
      <c r="B1068" s="56"/>
      <c r="C1068" s="56"/>
      <c r="D1068" s="56"/>
      <c r="E1068" s="56"/>
      <c r="F1068" s="56"/>
      <c r="G1068" s="56"/>
      <c r="H1068" s="56"/>
      <c r="I1068" s="56"/>
      <c r="J1068" s="56"/>
      <c r="K1068" s="56"/>
      <c r="L1068" s="56"/>
      <c r="M1068" s="56"/>
    </row>
    <row r="1069" spans="2:13" s="15" customFormat="1">
      <c r="B1069" s="56"/>
      <c r="C1069" s="56"/>
      <c r="D1069" s="56"/>
      <c r="E1069" s="56"/>
      <c r="F1069" s="56"/>
      <c r="G1069" s="56"/>
      <c r="H1069" s="56"/>
      <c r="I1069" s="56"/>
      <c r="J1069" s="56"/>
      <c r="K1069" s="56"/>
      <c r="L1069" s="56"/>
      <c r="M1069" s="56"/>
    </row>
    <row r="1070" spans="2:13" s="15" customFormat="1">
      <c r="B1070" s="56"/>
      <c r="C1070" s="56"/>
      <c r="D1070" s="56"/>
      <c r="E1070" s="56"/>
      <c r="F1070" s="56"/>
      <c r="G1070" s="56"/>
      <c r="H1070" s="56"/>
      <c r="I1070" s="56"/>
      <c r="J1070" s="56"/>
      <c r="K1070" s="56"/>
      <c r="L1070" s="56"/>
      <c r="M1070" s="56"/>
    </row>
    <row r="1071" spans="2:13" s="15" customFormat="1">
      <c r="B1071" s="56"/>
      <c r="C1071" s="56"/>
      <c r="D1071" s="56"/>
      <c r="E1071" s="56"/>
      <c r="F1071" s="56"/>
      <c r="G1071" s="56"/>
      <c r="H1071" s="56"/>
      <c r="I1071" s="56"/>
      <c r="J1071" s="56"/>
      <c r="K1071" s="56"/>
      <c r="L1071" s="56"/>
      <c r="M1071" s="56"/>
    </row>
    <row r="1072" spans="2:13" s="15" customFormat="1">
      <c r="B1072" s="56"/>
      <c r="C1072" s="56"/>
      <c r="D1072" s="56"/>
      <c r="E1072" s="56"/>
      <c r="F1072" s="56"/>
      <c r="G1072" s="56"/>
      <c r="H1072" s="56"/>
      <c r="I1072" s="56"/>
      <c r="J1072" s="56"/>
      <c r="K1072" s="56"/>
      <c r="L1072" s="56"/>
      <c r="M1072" s="56"/>
    </row>
    <row r="1073" spans="2:13" s="15" customFormat="1">
      <c r="B1073" s="56"/>
      <c r="C1073" s="56"/>
      <c r="D1073" s="56"/>
      <c r="E1073" s="56"/>
      <c r="F1073" s="56"/>
      <c r="G1073" s="56"/>
      <c r="H1073" s="56"/>
      <c r="I1073" s="56"/>
      <c r="J1073" s="56"/>
      <c r="K1073" s="56"/>
      <c r="L1073" s="56"/>
      <c r="M1073" s="56"/>
    </row>
    <row r="1074" spans="2:13" s="15" customFormat="1">
      <c r="B1074" s="56"/>
      <c r="C1074" s="56"/>
      <c r="D1074" s="56"/>
      <c r="E1074" s="56"/>
      <c r="F1074" s="56"/>
      <c r="G1074" s="56"/>
      <c r="H1074" s="56"/>
      <c r="I1074" s="56"/>
      <c r="J1074" s="56"/>
      <c r="K1074" s="56"/>
      <c r="L1074" s="56"/>
      <c r="M1074" s="56"/>
    </row>
    <row r="1075" spans="2:13" s="15" customFormat="1">
      <c r="B1075" s="56"/>
      <c r="C1075" s="56"/>
      <c r="D1075" s="56"/>
      <c r="E1075" s="56"/>
      <c r="F1075" s="56"/>
      <c r="G1075" s="56"/>
      <c r="H1075" s="56"/>
      <c r="I1075" s="56"/>
      <c r="J1075" s="56"/>
      <c r="K1075" s="56"/>
      <c r="L1075" s="56"/>
      <c r="M1075" s="56"/>
    </row>
    <row r="1076" spans="2:13" s="15" customFormat="1">
      <c r="B1076" s="56"/>
      <c r="C1076" s="56"/>
      <c r="D1076" s="56"/>
      <c r="E1076" s="56"/>
      <c r="F1076" s="56"/>
      <c r="G1076" s="56"/>
      <c r="H1076" s="56"/>
      <c r="I1076" s="56"/>
      <c r="J1076" s="56"/>
      <c r="K1076" s="56"/>
      <c r="L1076" s="56"/>
      <c r="M1076" s="56"/>
    </row>
    <row r="1077" spans="2:13" s="15" customFormat="1">
      <c r="B1077" s="56"/>
      <c r="C1077" s="56"/>
      <c r="D1077" s="56"/>
      <c r="E1077" s="56"/>
      <c r="F1077" s="56"/>
      <c r="G1077" s="56"/>
      <c r="H1077" s="56"/>
      <c r="I1077" s="56"/>
      <c r="J1077" s="56"/>
      <c r="K1077" s="56"/>
      <c r="L1077" s="56"/>
      <c r="M1077" s="56"/>
    </row>
    <row r="1078" spans="2:13" s="15" customFormat="1">
      <c r="B1078" s="56"/>
      <c r="C1078" s="56"/>
      <c r="D1078" s="56"/>
      <c r="E1078" s="56"/>
      <c r="F1078" s="56"/>
      <c r="G1078" s="56"/>
      <c r="H1078" s="56"/>
      <c r="I1078" s="56"/>
      <c r="J1078" s="56"/>
      <c r="K1078" s="56"/>
      <c r="L1078" s="56"/>
      <c r="M1078" s="56"/>
    </row>
    <row r="1079" spans="2:13" s="15" customFormat="1">
      <c r="B1079" s="56"/>
      <c r="C1079" s="56"/>
      <c r="D1079" s="56"/>
      <c r="E1079" s="56"/>
      <c r="F1079" s="56"/>
      <c r="G1079" s="56"/>
      <c r="H1079" s="56"/>
      <c r="I1079" s="56"/>
      <c r="J1079" s="56"/>
      <c r="K1079" s="56"/>
      <c r="L1079" s="56"/>
      <c r="M1079" s="56"/>
    </row>
    <row r="1080" spans="2:13" s="15" customFormat="1">
      <c r="B1080" s="56"/>
      <c r="C1080" s="56"/>
      <c r="D1080" s="56"/>
      <c r="E1080" s="56"/>
      <c r="F1080" s="56"/>
      <c r="G1080" s="56"/>
      <c r="H1080" s="56"/>
      <c r="I1080" s="56"/>
      <c r="J1080" s="56"/>
      <c r="K1080" s="56"/>
      <c r="L1080" s="56"/>
      <c r="M1080" s="56"/>
    </row>
    <row r="1081" spans="2:13" s="15" customFormat="1">
      <c r="B1081" s="56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56"/>
    </row>
    <row r="1082" spans="2:13" s="15" customFormat="1">
      <c r="B1082" s="56"/>
      <c r="C1082" s="56"/>
      <c r="D1082" s="56"/>
      <c r="E1082" s="56"/>
      <c r="F1082" s="56"/>
      <c r="G1082" s="56"/>
      <c r="H1082" s="56"/>
      <c r="I1082" s="56"/>
      <c r="J1082" s="56"/>
      <c r="K1082" s="56"/>
      <c r="L1082" s="56"/>
      <c r="M1082" s="56"/>
    </row>
    <row r="1083" spans="2:13" s="15" customFormat="1">
      <c r="B1083" s="56"/>
      <c r="C1083" s="56"/>
      <c r="D1083" s="56"/>
      <c r="E1083" s="56"/>
      <c r="F1083" s="56"/>
      <c r="G1083" s="56"/>
      <c r="H1083" s="56"/>
      <c r="I1083" s="56"/>
      <c r="J1083" s="56"/>
      <c r="K1083" s="56"/>
      <c r="L1083" s="56"/>
      <c r="M1083" s="56"/>
    </row>
    <row r="1084" spans="2:13" s="15" customFormat="1">
      <c r="B1084" s="56"/>
      <c r="C1084" s="56"/>
      <c r="D1084" s="56"/>
      <c r="E1084" s="56"/>
      <c r="F1084" s="56"/>
      <c r="G1084" s="56"/>
      <c r="H1084" s="56"/>
      <c r="I1084" s="56"/>
      <c r="J1084" s="56"/>
      <c r="K1084" s="56"/>
      <c r="L1084" s="56"/>
      <c r="M1084" s="56"/>
    </row>
    <row r="1085" spans="2:13" s="15" customFormat="1">
      <c r="B1085" s="56"/>
      <c r="C1085" s="56"/>
      <c r="D1085" s="56"/>
      <c r="E1085" s="56"/>
      <c r="F1085" s="56"/>
      <c r="G1085" s="56"/>
      <c r="H1085" s="56"/>
      <c r="I1085" s="56"/>
      <c r="J1085" s="56"/>
      <c r="K1085" s="56"/>
      <c r="L1085" s="56"/>
      <c r="M1085" s="56"/>
    </row>
    <row r="1086" spans="2:13" s="15" customFormat="1">
      <c r="B1086" s="56"/>
      <c r="C1086" s="56"/>
      <c r="D1086" s="56"/>
      <c r="E1086" s="56"/>
      <c r="F1086" s="56"/>
      <c r="G1086" s="56"/>
      <c r="H1086" s="56"/>
      <c r="I1086" s="56"/>
      <c r="J1086" s="56"/>
      <c r="K1086" s="56"/>
      <c r="L1086" s="56"/>
      <c r="M1086" s="56"/>
    </row>
    <row r="1087" spans="2:13" s="15" customFormat="1">
      <c r="B1087" s="56"/>
      <c r="C1087" s="56"/>
      <c r="D1087" s="56"/>
      <c r="E1087" s="56"/>
      <c r="F1087" s="56"/>
      <c r="G1087" s="56"/>
      <c r="H1087" s="56"/>
      <c r="I1087" s="56"/>
      <c r="J1087" s="56"/>
      <c r="K1087" s="56"/>
      <c r="L1087" s="56"/>
      <c r="M1087" s="56"/>
    </row>
    <row r="1088" spans="2:13" s="15" customFormat="1">
      <c r="B1088" s="56"/>
      <c r="C1088" s="56"/>
      <c r="D1088" s="56"/>
      <c r="E1088" s="56"/>
      <c r="F1088" s="56"/>
      <c r="G1088" s="56"/>
      <c r="H1088" s="56"/>
      <c r="I1088" s="56"/>
      <c r="J1088" s="56"/>
      <c r="K1088" s="56"/>
      <c r="L1088" s="56"/>
      <c r="M1088" s="56"/>
    </row>
    <row r="1089" spans="2:13" s="15" customFormat="1">
      <c r="B1089" s="56"/>
      <c r="C1089" s="56"/>
      <c r="D1089" s="56"/>
      <c r="E1089" s="56"/>
      <c r="F1089" s="56"/>
      <c r="G1089" s="56"/>
      <c r="H1089" s="56"/>
      <c r="I1089" s="56"/>
      <c r="J1089" s="56"/>
      <c r="K1089" s="56"/>
      <c r="L1089" s="56"/>
      <c r="M1089" s="56"/>
    </row>
    <row r="1090" spans="2:13" s="15" customFormat="1">
      <c r="B1090" s="56"/>
      <c r="C1090" s="56"/>
      <c r="D1090" s="56"/>
      <c r="E1090" s="56"/>
      <c r="F1090" s="56"/>
      <c r="G1090" s="56"/>
      <c r="H1090" s="56"/>
      <c r="I1090" s="56"/>
      <c r="J1090" s="56"/>
      <c r="K1090" s="56"/>
      <c r="L1090" s="56"/>
      <c r="M1090" s="56"/>
    </row>
    <row r="1091" spans="2:13" s="15" customFormat="1">
      <c r="B1091" s="56"/>
      <c r="C1091" s="56"/>
      <c r="D1091" s="56"/>
      <c r="E1091" s="56"/>
      <c r="F1091" s="56"/>
      <c r="G1091" s="56"/>
      <c r="H1091" s="56"/>
      <c r="I1091" s="56"/>
      <c r="J1091" s="56"/>
      <c r="K1091" s="56"/>
      <c r="L1091" s="56"/>
      <c r="M1091" s="56"/>
    </row>
    <row r="1092" spans="2:13" s="15" customFormat="1">
      <c r="B1092" s="56"/>
      <c r="C1092" s="56"/>
      <c r="D1092" s="56"/>
      <c r="E1092" s="56"/>
      <c r="F1092" s="56"/>
      <c r="G1092" s="56"/>
      <c r="H1092" s="56"/>
      <c r="I1092" s="56"/>
      <c r="J1092" s="56"/>
      <c r="K1092" s="56"/>
      <c r="L1092" s="56"/>
      <c r="M1092" s="56"/>
    </row>
    <row r="1093" spans="2:13" s="15" customFormat="1">
      <c r="B1093" s="56"/>
      <c r="C1093" s="56"/>
      <c r="D1093" s="56"/>
      <c r="E1093" s="56"/>
      <c r="F1093" s="56"/>
      <c r="G1093" s="56"/>
      <c r="H1093" s="56"/>
      <c r="I1093" s="56"/>
      <c r="J1093" s="56"/>
      <c r="K1093" s="56"/>
      <c r="L1093" s="56"/>
      <c r="M1093" s="56"/>
    </row>
    <row r="1094" spans="2:13" s="15" customFormat="1">
      <c r="B1094" s="56"/>
      <c r="C1094" s="56"/>
      <c r="D1094" s="56"/>
      <c r="E1094" s="56"/>
      <c r="F1094" s="56"/>
      <c r="G1094" s="56"/>
      <c r="H1094" s="56"/>
      <c r="I1094" s="56"/>
      <c r="J1094" s="56"/>
      <c r="K1094" s="56"/>
      <c r="L1094" s="56"/>
      <c r="M1094" s="56"/>
    </row>
    <row r="1095" spans="2:13" s="15" customFormat="1">
      <c r="B1095" s="56"/>
      <c r="C1095" s="56"/>
      <c r="D1095" s="56"/>
      <c r="E1095" s="56"/>
      <c r="F1095" s="56"/>
      <c r="G1095" s="56"/>
      <c r="H1095" s="56"/>
      <c r="I1095" s="56"/>
      <c r="J1095" s="56"/>
      <c r="K1095" s="56"/>
      <c r="L1095" s="56"/>
      <c r="M1095" s="56"/>
    </row>
    <row r="1096" spans="2:13" s="15" customFormat="1">
      <c r="B1096" s="56"/>
      <c r="C1096" s="56"/>
      <c r="D1096" s="56"/>
      <c r="E1096" s="56"/>
      <c r="F1096" s="56"/>
      <c r="G1096" s="56"/>
      <c r="H1096" s="56"/>
      <c r="I1096" s="56"/>
      <c r="J1096" s="56"/>
      <c r="K1096" s="56"/>
      <c r="L1096" s="56"/>
      <c r="M1096" s="56"/>
    </row>
    <row r="1097" spans="2:13" s="15" customFormat="1">
      <c r="B1097" s="56"/>
      <c r="C1097" s="56"/>
      <c r="D1097" s="56"/>
      <c r="E1097" s="56"/>
      <c r="F1097" s="56"/>
      <c r="G1097" s="56"/>
      <c r="H1097" s="56"/>
      <c r="I1097" s="56"/>
      <c r="J1097" s="56"/>
      <c r="K1097" s="56"/>
      <c r="L1097" s="56"/>
      <c r="M1097" s="56"/>
    </row>
    <row r="1098" spans="2:13" s="15" customFormat="1">
      <c r="B1098" s="56"/>
      <c r="C1098" s="56"/>
      <c r="D1098" s="56"/>
      <c r="E1098" s="56"/>
      <c r="F1098" s="56"/>
      <c r="G1098" s="56"/>
      <c r="H1098" s="56"/>
      <c r="I1098" s="56"/>
      <c r="J1098" s="56"/>
      <c r="K1098" s="56"/>
      <c r="L1098" s="56"/>
      <c r="M1098" s="56"/>
    </row>
    <row r="1099" spans="2:13" s="15" customFormat="1">
      <c r="B1099" s="56"/>
      <c r="C1099" s="56"/>
      <c r="D1099" s="56"/>
      <c r="E1099" s="56"/>
      <c r="F1099" s="56"/>
      <c r="G1099" s="56"/>
      <c r="H1099" s="56"/>
      <c r="I1099" s="56"/>
      <c r="J1099" s="56"/>
      <c r="K1099" s="56"/>
      <c r="L1099" s="56"/>
      <c r="M1099" s="56"/>
    </row>
    <row r="1100" spans="2:13" s="15" customFormat="1">
      <c r="B1100" s="56"/>
      <c r="C1100" s="56"/>
      <c r="D1100" s="56"/>
      <c r="E1100" s="56"/>
      <c r="F1100" s="56"/>
      <c r="G1100" s="56"/>
      <c r="H1100" s="56"/>
      <c r="I1100" s="56"/>
      <c r="J1100" s="56"/>
      <c r="K1100" s="56"/>
      <c r="L1100" s="56"/>
      <c r="M1100" s="56"/>
    </row>
    <row r="1101" spans="2:13" s="15" customFormat="1">
      <c r="B1101" s="56"/>
      <c r="C1101" s="56"/>
      <c r="D1101" s="56"/>
      <c r="E1101" s="56"/>
      <c r="F1101" s="56"/>
      <c r="G1101" s="56"/>
      <c r="H1101" s="56"/>
      <c r="I1101" s="56"/>
      <c r="J1101" s="56"/>
      <c r="K1101" s="56"/>
      <c r="L1101" s="56"/>
      <c r="M1101" s="56"/>
    </row>
    <row r="1102" spans="2:13" s="15" customFormat="1">
      <c r="B1102" s="56"/>
      <c r="C1102" s="56"/>
      <c r="D1102" s="56"/>
      <c r="E1102" s="56"/>
      <c r="F1102" s="56"/>
      <c r="G1102" s="56"/>
      <c r="H1102" s="56"/>
      <c r="I1102" s="56"/>
      <c r="J1102" s="56"/>
      <c r="K1102" s="56"/>
      <c r="L1102" s="56"/>
      <c r="M1102" s="56"/>
    </row>
    <row r="1103" spans="2:13" s="15" customFormat="1">
      <c r="B1103" s="56"/>
      <c r="C1103" s="56"/>
      <c r="D1103" s="56"/>
      <c r="E1103" s="56"/>
      <c r="F1103" s="56"/>
      <c r="G1103" s="56"/>
      <c r="H1103" s="56"/>
      <c r="I1103" s="56"/>
      <c r="J1103" s="56"/>
      <c r="K1103" s="56"/>
      <c r="L1103" s="56"/>
      <c r="M1103" s="56"/>
    </row>
    <row r="1104" spans="2:13" s="15" customFormat="1">
      <c r="B1104" s="56"/>
      <c r="C1104" s="56"/>
      <c r="D1104" s="56"/>
      <c r="E1104" s="56"/>
      <c r="F1104" s="56"/>
      <c r="G1104" s="56"/>
      <c r="H1104" s="56"/>
      <c r="I1104" s="56"/>
      <c r="J1104" s="56"/>
      <c r="K1104" s="56"/>
      <c r="L1104" s="56"/>
      <c r="M1104" s="56"/>
    </row>
    <row r="1105" spans="2:13" s="15" customFormat="1">
      <c r="B1105" s="56"/>
      <c r="C1105" s="56"/>
      <c r="D1105" s="56"/>
      <c r="E1105" s="56"/>
      <c r="F1105" s="56"/>
      <c r="G1105" s="56"/>
      <c r="H1105" s="56"/>
      <c r="I1105" s="56"/>
      <c r="J1105" s="56"/>
      <c r="K1105" s="56"/>
      <c r="L1105" s="56"/>
      <c r="M1105" s="56"/>
    </row>
    <row r="1106" spans="2:13" s="15" customFormat="1">
      <c r="B1106" s="56"/>
      <c r="C1106" s="56"/>
      <c r="D1106" s="56"/>
      <c r="E1106" s="56"/>
      <c r="F1106" s="56"/>
      <c r="G1106" s="56"/>
      <c r="H1106" s="56"/>
      <c r="I1106" s="56"/>
      <c r="J1106" s="56"/>
      <c r="K1106" s="56"/>
      <c r="L1106" s="56"/>
      <c r="M1106" s="56"/>
    </row>
    <row r="1107" spans="2:13" s="15" customFormat="1">
      <c r="B1107" s="56"/>
      <c r="C1107" s="56"/>
      <c r="D1107" s="56"/>
      <c r="E1107" s="56"/>
      <c r="F1107" s="56"/>
      <c r="G1107" s="56"/>
      <c r="H1107" s="56"/>
      <c r="I1107" s="56"/>
      <c r="J1107" s="56"/>
      <c r="K1107" s="56"/>
      <c r="L1107" s="56"/>
      <c r="M1107" s="56"/>
    </row>
    <row r="1108" spans="2:13" s="15" customFormat="1">
      <c r="B1108" s="56"/>
      <c r="C1108" s="56"/>
      <c r="D1108" s="56"/>
      <c r="E1108" s="56"/>
      <c r="F1108" s="56"/>
      <c r="G1108" s="56"/>
      <c r="H1108" s="56"/>
      <c r="I1108" s="56"/>
      <c r="J1108" s="56"/>
      <c r="K1108" s="56"/>
      <c r="L1108" s="56"/>
      <c r="M1108" s="56"/>
    </row>
    <row r="1109" spans="2:13" s="15" customFormat="1">
      <c r="B1109" s="56"/>
      <c r="C1109" s="56"/>
      <c r="D1109" s="56"/>
      <c r="E1109" s="56"/>
      <c r="F1109" s="56"/>
      <c r="G1109" s="56"/>
      <c r="H1109" s="56"/>
      <c r="I1109" s="56"/>
      <c r="J1109" s="56"/>
      <c r="K1109" s="56"/>
      <c r="L1109" s="56"/>
      <c r="M1109" s="56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orientation="landscape" r:id="rId1"/>
  <headerFooter alignWithMargins="0">
    <oddHeader xml:space="preserve">&amp;C&amp;"Arial,Fett"STRABAG Group
</oddHeader>
  </headerFooter>
  <rowBreaks count="6" manualBreakCount="6">
    <brk id="36" max="12" man="1"/>
    <brk id="78" max="12" man="1"/>
    <brk id="103" max="12" man="1"/>
    <brk id="124" max="12" man="1"/>
    <brk id="157" max="12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B5" sqref="B5"/>
    </sheetView>
  </sheetViews>
  <sheetFormatPr baseColWidth="10" defaultColWidth="20.6640625" defaultRowHeight="12" customHeight="1" outlineLevelRow="1" outlineLevelCol="1"/>
  <cols>
    <col min="1" max="1" width="20.6640625" style="59" customWidth="1"/>
    <col min="2" max="7" width="10.88671875" style="60" customWidth="1"/>
    <col min="8" max="13" width="10.88671875" style="60" hidden="1" customWidth="1" outlineLevel="1"/>
    <col min="14" max="14" width="20.6640625" style="59" collapsed="1"/>
    <col min="15" max="16384" width="20.6640625" style="59"/>
  </cols>
  <sheetData>
    <row r="1" spans="1:23" s="58" customFormat="1" ht="24.75" customHeight="1">
      <c r="A1" s="57" t="s">
        <v>136</v>
      </c>
      <c r="B1" s="1" t="s">
        <v>151</v>
      </c>
      <c r="C1" s="1" t="s">
        <v>152</v>
      </c>
      <c r="D1" s="1" t="s">
        <v>150</v>
      </c>
      <c r="E1" s="1">
        <v>2015</v>
      </c>
      <c r="F1" s="1" t="s">
        <v>153</v>
      </c>
      <c r="G1" s="1">
        <v>2014</v>
      </c>
      <c r="H1" s="1" t="s">
        <v>1</v>
      </c>
      <c r="I1" s="1">
        <v>2013</v>
      </c>
      <c r="J1" s="1" t="s">
        <v>2</v>
      </c>
      <c r="K1" s="1">
        <v>2012</v>
      </c>
      <c r="L1" s="1" t="s">
        <v>3</v>
      </c>
      <c r="M1" s="1">
        <v>2011</v>
      </c>
    </row>
    <row r="2" spans="1:23" ht="3" hidden="1" customHeight="1" outlineLevel="1"/>
    <row r="3" spans="1:23" s="65" customFormat="1" ht="10.199999999999999" customHeight="1" collapsed="1">
      <c r="A3" s="61" t="s">
        <v>4</v>
      </c>
      <c r="B3" s="62">
        <f>B71</f>
        <v>991.93000000000006</v>
      </c>
      <c r="C3" s="63">
        <f>IF((+B3/D3)&lt;0,"n.m.",IF(B3&lt;0,(+B3/D3-1)*-1,(+B3/D3-1)))</f>
        <v>-0.10751914200624402</v>
      </c>
      <c r="D3" s="62">
        <f>D71</f>
        <v>1111.4299999999998</v>
      </c>
      <c r="E3" s="62">
        <f>E71</f>
        <v>6368.4</v>
      </c>
      <c r="F3" s="241">
        <f t="shared" ref="F3:H7" si="0">IF((+E3/G3)&lt;0,"n.m.",IF(E3&lt;0,(+E3/G3-1)*-1,(+E3/G3-1)))</f>
        <v>1.2070020421298455E-2</v>
      </c>
      <c r="G3" s="62">
        <f>G71</f>
        <v>6292.4500000000007</v>
      </c>
      <c r="H3" s="241">
        <f t="shared" si="0"/>
        <v>4.5064780414242556E-2</v>
      </c>
      <c r="I3" s="62">
        <f>I71</f>
        <v>6021.1100000000006</v>
      </c>
      <c r="J3" s="64">
        <f>(I3-K3)/K3</f>
        <v>-3.4640710450412386E-2</v>
      </c>
      <c r="K3" s="62">
        <v>6237.1699999999992</v>
      </c>
      <c r="L3" s="64">
        <v>-2.5064399954982441E-2</v>
      </c>
      <c r="M3" s="62">
        <v>6397.5199999999986</v>
      </c>
    </row>
    <row r="4" spans="1:23" s="65" customFormat="1" ht="10.199999999999999" customHeight="1">
      <c r="A4" s="61" t="s">
        <v>5</v>
      </c>
      <c r="B4" s="62">
        <f>B101</f>
        <v>6208.7399999999989</v>
      </c>
      <c r="C4" s="63">
        <f>IF((+B4/D4)&lt;0,"n.m.",IF(B4&lt;0,(+B4/D4-1)*-1,(+B4/D4-1)))</f>
        <v>4.7397170610245176E-2</v>
      </c>
      <c r="D4" s="62">
        <f>D101</f>
        <v>5927.78</v>
      </c>
      <c r="E4" s="62">
        <f>E101</f>
        <v>5397.45</v>
      </c>
      <c r="F4" s="241">
        <f t="shared" si="0"/>
        <v>-5.014272188765978E-2</v>
      </c>
      <c r="G4" s="62">
        <f>G101</f>
        <v>5682.38</v>
      </c>
      <c r="H4" s="241">
        <f t="shared" si="0"/>
        <v>4.2397537450057365E-2</v>
      </c>
      <c r="I4" s="62">
        <f>I101</f>
        <v>5451.26</v>
      </c>
      <c r="J4" s="64">
        <f>(I4-K4)/K4</f>
        <v>0.1294390161026992</v>
      </c>
      <c r="K4" s="62">
        <v>4826.5200000000004</v>
      </c>
      <c r="L4" s="64">
        <v>-1.7406280919051831E-2</v>
      </c>
      <c r="M4" s="62">
        <v>4912.0200000000013</v>
      </c>
    </row>
    <row r="5" spans="1:23" s="65" customFormat="1" ht="10.199999999999999" customHeight="1">
      <c r="A5" s="61" t="s">
        <v>6</v>
      </c>
      <c r="B5" s="62">
        <v>964.58</v>
      </c>
      <c r="C5" s="63">
        <f>IF((+B5/D5)&lt;0,"n.m.",IF(B5&lt;0,(+B5/D5-1)*-1,(+B5/D5-1)))</f>
        <v>-6.6460198403097026E-2</v>
      </c>
      <c r="D5" s="62">
        <v>1033.25</v>
      </c>
      <c r="E5" s="62">
        <v>5895.1</v>
      </c>
      <c r="F5" s="241">
        <f t="shared" si="0"/>
        <v>3.0770107719331863E-2</v>
      </c>
      <c r="G5" s="62">
        <v>5719.1220000000003</v>
      </c>
      <c r="H5" s="241">
        <f t="shared" si="0"/>
        <v>3.9681575904770838E-2</v>
      </c>
      <c r="I5" s="62">
        <v>5500.84</v>
      </c>
      <c r="J5" s="64">
        <f>(I5-K5)/K5</f>
        <v>-1.5765421562580328E-3</v>
      </c>
      <c r="K5" s="62">
        <v>5509.5259999999998</v>
      </c>
      <c r="L5" s="64">
        <v>-7.5673147353731651E-2</v>
      </c>
      <c r="M5" s="62">
        <v>5960.5820000000003</v>
      </c>
      <c r="N5" s="351"/>
    </row>
    <row r="6" spans="1:23" s="65" customFormat="1" ht="10.199999999999999" customHeight="1">
      <c r="A6" s="61" t="s">
        <v>137</v>
      </c>
      <c r="B6" s="62">
        <v>-79.67</v>
      </c>
      <c r="C6" s="63">
        <f>IF((+B6/D6)&lt;0,"n.m.",IF(B6&lt;0,(+B6/D6-1)*-1,(+B6/D6-1)))</f>
        <v>8.1137189320108383E-2</v>
      </c>
      <c r="D6" s="62">
        <v>-86.704999999999998</v>
      </c>
      <c r="E6" s="62">
        <v>105.17</v>
      </c>
      <c r="F6" s="241">
        <f t="shared" si="0"/>
        <v>2.6681664399567508</v>
      </c>
      <c r="G6" s="62">
        <v>28.670999999999999</v>
      </c>
      <c r="H6" s="241">
        <f t="shared" si="0"/>
        <v>-0.60473965010959929</v>
      </c>
      <c r="I6" s="62">
        <v>72.537000000000006</v>
      </c>
      <c r="J6" s="64" t="s">
        <v>14</v>
      </c>
      <c r="K6" s="62">
        <v>-51.317</v>
      </c>
      <c r="L6" s="64" t="s">
        <v>14</v>
      </c>
      <c r="M6" s="62">
        <v>149.125</v>
      </c>
    </row>
    <row r="7" spans="1:23" s="65" customFormat="1" ht="10.199999999999999" customHeight="1">
      <c r="A7" s="61" t="s">
        <v>147</v>
      </c>
      <c r="B7" s="62">
        <v>-79.67</v>
      </c>
      <c r="C7" s="63">
        <f>IF((+B7/D7)&lt;0,"n.m.",IF(B7&lt;0,(+B7/D7-1)*-1,(+B7/D7-1)))</f>
        <v>8.1137189320108383E-2</v>
      </c>
      <c r="D7" s="62">
        <v>-86.704999999999998</v>
      </c>
      <c r="E7" s="62">
        <v>105.17</v>
      </c>
      <c r="F7" s="241">
        <f t="shared" si="0"/>
        <v>2.6681664399567508</v>
      </c>
      <c r="G7" s="62">
        <v>28.670999999999999</v>
      </c>
      <c r="H7" s="241">
        <f t="shared" si="0"/>
        <v>-0.60473965010959929</v>
      </c>
      <c r="I7" s="62">
        <v>72.537000000000006</v>
      </c>
      <c r="J7" s="64" t="s">
        <v>14</v>
      </c>
      <c r="K7" s="62">
        <v>-51.317</v>
      </c>
      <c r="L7" s="64" t="s">
        <v>14</v>
      </c>
      <c r="M7" s="62">
        <v>149.125</v>
      </c>
    </row>
    <row r="8" spans="1:23" ht="10.199999999999999" customHeight="1">
      <c r="A8" s="66" t="s">
        <v>138</v>
      </c>
      <c r="B8" s="67">
        <f>B6/B5</f>
        <v>-8.2595533807460236E-2</v>
      </c>
      <c r="C8" s="64"/>
      <c r="D8" s="67">
        <f>D6/D5</f>
        <v>-8.3914831841277515E-2</v>
      </c>
      <c r="E8" s="67">
        <f>E6/E5</f>
        <v>1.7840240199487708E-2</v>
      </c>
      <c r="F8" s="64"/>
      <c r="G8" s="67">
        <f>G6/G5</f>
        <v>5.0131820933353053E-3</v>
      </c>
      <c r="H8" s="67"/>
      <c r="I8" s="67">
        <f>I6/I5</f>
        <v>1.3186531511550964E-2</v>
      </c>
      <c r="J8" s="67"/>
      <c r="K8" s="67">
        <f>K6/K5</f>
        <v>-9.3142313876003122E-3</v>
      </c>
      <c r="L8" s="67"/>
      <c r="M8" s="67">
        <f>M6/M5</f>
        <v>2.5018530069714669E-2</v>
      </c>
    </row>
    <row r="9" spans="1:23" ht="10.199999999999999" customHeight="1">
      <c r="A9" s="66" t="s">
        <v>139</v>
      </c>
      <c r="B9" s="68">
        <f>B3/Group!B2</f>
        <v>0.43950410513396521</v>
      </c>
      <c r="C9" s="68"/>
      <c r="D9" s="68">
        <f>D3/Group!D2</f>
        <v>0.45027427339831616</v>
      </c>
      <c r="E9" s="68">
        <f>E3/Group!E2</f>
        <v>0.44566178858147371</v>
      </c>
      <c r="F9" s="68"/>
      <c r="G9" s="68">
        <f>G3/Group!G2</f>
        <v>0.46383974642488579</v>
      </c>
      <c r="H9" s="68"/>
      <c r="I9" s="68">
        <f>I3/Group!I186</f>
        <v>0.44360708373271485</v>
      </c>
      <c r="J9" s="68"/>
      <c r="K9" s="68">
        <f>K3/Group!K2</f>
        <v>0.44416062552518754</v>
      </c>
      <c r="L9" s="68"/>
      <c r="M9" s="68">
        <f>M3/Group!M2</f>
        <v>0.44657175664969251</v>
      </c>
    </row>
    <row r="10" spans="1:23" ht="10.199999999999999" customHeight="1">
      <c r="A10" s="66" t="s">
        <v>140</v>
      </c>
      <c r="B10" s="68">
        <f>B4/Group!B3</f>
        <v>0.44422328145145246</v>
      </c>
      <c r="C10" s="68"/>
      <c r="D10" s="68">
        <f>D4/Group!D3</f>
        <v>0.3918411001571917</v>
      </c>
      <c r="E10" s="68">
        <f>E4/Group!E3</f>
        <v>0.41093434278065988</v>
      </c>
      <c r="F10" s="68"/>
      <c r="G10" s="68">
        <f>G4/Group!G3</f>
        <v>0.39451547685830612</v>
      </c>
      <c r="H10" s="68"/>
      <c r="I10" s="68">
        <f>I4/Group!I216</f>
        <v>0.40470597668244529</v>
      </c>
      <c r="J10" s="68"/>
      <c r="K10" s="68">
        <f>K4/Group!K3</f>
        <v>0.36557178629155035</v>
      </c>
      <c r="L10" s="68"/>
      <c r="M10" s="68">
        <f>M4/Group!M3</f>
        <v>0.36783136138984585</v>
      </c>
    </row>
    <row r="11" spans="1:23" ht="10.199999999999999" customHeight="1">
      <c r="A11" s="66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23" s="65" customFormat="1" ht="10.199999999999999" customHeight="1">
      <c r="A12" s="70" t="s">
        <v>105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23" s="3" customFormat="1" ht="10.199999999999999">
      <c r="A13" s="72" t="s">
        <v>106</v>
      </c>
      <c r="B13" s="73">
        <v>15923</v>
      </c>
      <c r="C13" s="74">
        <f t="shared" ref="C13:C77" si="1">IF((+B13/D13)&lt;0,"n.m.",IF(B13&lt;0,(+B13/D13-1)*-1,(+B13/D13-1)))</f>
        <v>-1.6977404617854019E-2</v>
      </c>
      <c r="D13" s="73">
        <v>16198</v>
      </c>
      <c r="E13" s="73">
        <v>16658</v>
      </c>
      <c r="F13" s="95">
        <f>IF((+E13/G13)&lt;0,"n.m.",IF(E13&lt;0,(+E13/G13-1)*-1,(+E13/G13-1)))</f>
        <v>-1.7111163559122011E-2</v>
      </c>
      <c r="G13" s="73">
        <v>16948</v>
      </c>
      <c r="H13" s="95">
        <f>IF((+G13/I13)&lt;0,"n.m.",IF(G13&lt;0,(+G13/I13-1)*-1,(+G13/I13-1)))</f>
        <v>5.3390515258872506E-2</v>
      </c>
      <c r="I13" s="73">
        <v>16089</v>
      </c>
      <c r="J13" s="74"/>
      <c r="K13" s="75"/>
      <c r="L13" s="74"/>
      <c r="M13" s="76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3" customFormat="1" ht="10.199999999999999">
      <c r="A14" s="72" t="s">
        <v>107</v>
      </c>
      <c r="B14" s="73">
        <v>100</v>
      </c>
      <c r="C14" s="74">
        <f t="shared" si="1"/>
        <v>3.0927835051546282E-2</v>
      </c>
      <c r="D14" s="73">
        <v>97</v>
      </c>
      <c r="E14" s="73">
        <v>116</v>
      </c>
      <c r="F14" s="95">
        <f t="shared" ref="F14:H39" si="2">IF((+E14/G14)&lt;0,"n.m.",IF(E14&lt;0,(+E14/G14-1)*-1,(+E14/G14-1)))</f>
        <v>4.5045045045045029E-2</v>
      </c>
      <c r="G14" s="73">
        <v>111</v>
      </c>
      <c r="H14" s="95">
        <f t="shared" si="2"/>
        <v>-1.7699115044247815E-2</v>
      </c>
      <c r="I14" s="73">
        <v>113</v>
      </c>
      <c r="J14" s="74"/>
      <c r="K14" s="75"/>
      <c r="L14" s="74"/>
      <c r="M14" s="76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3" customFormat="1" ht="10.199999999999999">
      <c r="A15" s="72" t="s">
        <v>108</v>
      </c>
      <c r="B15" s="73">
        <v>3454</v>
      </c>
      <c r="C15" s="74">
        <f t="shared" si="1"/>
        <v>9.2346616065781095E-2</v>
      </c>
      <c r="D15" s="73">
        <v>3162</v>
      </c>
      <c r="E15" s="73">
        <v>3377</v>
      </c>
      <c r="F15" s="95">
        <f t="shared" si="2"/>
        <v>3.779963122310992E-2</v>
      </c>
      <c r="G15" s="73">
        <v>3254</v>
      </c>
      <c r="H15" s="95">
        <f t="shared" si="2"/>
        <v>-0.12784776199410341</v>
      </c>
      <c r="I15" s="73">
        <v>3731</v>
      </c>
      <c r="J15" s="74"/>
      <c r="K15" s="75"/>
      <c r="L15" s="74"/>
      <c r="M15" s="76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3" customFormat="1" ht="10.199999999999999">
      <c r="A16" s="72" t="s">
        <v>109</v>
      </c>
      <c r="B16" s="73">
        <v>3</v>
      </c>
      <c r="C16" s="74"/>
      <c r="D16" s="73">
        <v>0</v>
      </c>
      <c r="E16" s="73">
        <v>1</v>
      </c>
      <c r="F16" s="95"/>
      <c r="G16" s="73">
        <v>0</v>
      </c>
      <c r="H16" s="95"/>
      <c r="I16" s="73">
        <v>0</v>
      </c>
      <c r="J16" s="74"/>
      <c r="K16" s="75"/>
      <c r="L16" s="74"/>
      <c r="M16" s="76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11" customFormat="1" ht="10.199999999999999">
      <c r="A17" s="72" t="s">
        <v>110</v>
      </c>
      <c r="B17" s="73">
        <v>0</v>
      </c>
      <c r="C17" s="74"/>
      <c r="D17" s="73">
        <v>0</v>
      </c>
      <c r="E17" s="73">
        <v>1</v>
      </c>
      <c r="F17" s="95">
        <f t="shared" si="2"/>
        <v>0</v>
      </c>
      <c r="G17" s="73">
        <v>1</v>
      </c>
      <c r="H17" s="95">
        <f t="shared" si="2"/>
        <v>-0.75</v>
      </c>
      <c r="I17" s="73">
        <v>4</v>
      </c>
      <c r="J17" s="74"/>
      <c r="K17" s="75"/>
      <c r="L17" s="74"/>
      <c r="M17" s="76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1" customFormat="1" ht="10.199999999999999">
      <c r="A18" s="72" t="s">
        <v>111</v>
      </c>
      <c r="B18" s="73">
        <v>81</v>
      </c>
      <c r="C18" s="74">
        <f t="shared" si="1"/>
        <v>-0.48734177215189878</v>
      </c>
      <c r="D18" s="73">
        <v>158</v>
      </c>
      <c r="E18" s="73">
        <v>160</v>
      </c>
      <c r="F18" s="95">
        <f t="shared" si="2"/>
        <v>-0.5107033639143731</v>
      </c>
      <c r="G18" s="73">
        <v>327</v>
      </c>
      <c r="H18" s="95">
        <f t="shared" si="2"/>
        <v>-7.1022727272727293E-2</v>
      </c>
      <c r="I18" s="73">
        <v>352</v>
      </c>
      <c r="J18" s="74"/>
      <c r="K18" s="75"/>
      <c r="L18" s="74"/>
      <c r="M18" s="76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1" customFormat="1" ht="10.199999999999999">
      <c r="A19" s="72" t="s">
        <v>112</v>
      </c>
      <c r="B19" s="73">
        <v>0</v>
      </c>
      <c r="C19" s="74"/>
      <c r="D19" s="73">
        <v>0</v>
      </c>
      <c r="E19" s="73">
        <v>0</v>
      </c>
      <c r="F19" s="95"/>
      <c r="G19" s="73">
        <v>0</v>
      </c>
      <c r="H19" s="95"/>
      <c r="I19" s="73">
        <v>0</v>
      </c>
      <c r="J19" s="74"/>
      <c r="K19" s="75"/>
      <c r="L19" s="74"/>
      <c r="M19" s="76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1" customFormat="1" ht="10.199999999999999">
      <c r="A20" s="72" t="s">
        <v>113</v>
      </c>
      <c r="B20" s="73">
        <v>63</v>
      </c>
      <c r="C20" s="74">
        <f t="shared" si="1"/>
        <v>-9.9999999999999978E-2</v>
      </c>
      <c r="D20" s="73">
        <v>70</v>
      </c>
      <c r="E20" s="73">
        <v>73</v>
      </c>
      <c r="F20" s="95">
        <f t="shared" si="2"/>
        <v>7.3529411764705843E-2</v>
      </c>
      <c r="G20" s="73">
        <v>68</v>
      </c>
      <c r="H20" s="95">
        <f t="shared" si="2"/>
        <v>-6.8493150684931559E-2</v>
      </c>
      <c r="I20" s="73">
        <v>73</v>
      </c>
      <c r="J20" s="74"/>
      <c r="K20" s="75"/>
      <c r="L20" s="74"/>
      <c r="M20" s="76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1" customFormat="1" ht="10.199999999999999">
      <c r="A21" s="72" t="s">
        <v>114</v>
      </c>
      <c r="B21" s="73">
        <v>0</v>
      </c>
      <c r="C21" s="74"/>
      <c r="D21" s="73">
        <v>0</v>
      </c>
      <c r="E21" s="73">
        <v>0</v>
      </c>
      <c r="F21" s="95"/>
      <c r="G21" s="73">
        <v>0</v>
      </c>
      <c r="H21" s="95">
        <f t="shared" si="2"/>
        <v>-1</v>
      </c>
      <c r="I21" s="73">
        <v>1</v>
      </c>
      <c r="J21" s="74"/>
      <c r="K21" s="75"/>
      <c r="L21" s="74"/>
      <c r="M21" s="76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1" customFormat="1" ht="10.199999999999999">
      <c r="A22" s="72" t="s">
        <v>115</v>
      </c>
      <c r="B22" s="73">
        <v>0</v>
      </c>
      <c r="C22" s="74"/>
      <c r="D22" s="73">
        <v>0</v>
      </c>
      <c r="E22" s="73">
        <v>0</v>
      </c>
      <c r="F22" s="95"/>
      <c r="G22" s="73">
        <v>0</v>
      </c>
      <c r="H22" s="95"/>
      <c r="I22" s="73">
        <v>0</v>
      </c>
      <c r="J22" s="74"/>
      <c r="K22" s="75"/>
      <c r="L22" s="74"/>
      <c r="M22" s="76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11" customFormat="1" ht="10.199999999999999">
      <c r="A23" s="72" t="s">
        <v>116</v>
      </c>
      <c r="B23" s="73">
        <v>0</v>
      </c>
      <c r="C23" s="74"/>
      <c r="D23" s="73">
        <v>0</v>
      </c>
      <c r="E23" s="73">
        <v>0</v>
      </c>
      <c r="F23" s="95"/>
      <c r="G23" s="73">
        <v>0</v>
      </c>
      <c r="H23" s="95"/>
      <c r="I23" s="73">
        <v>0</v>
      </c>
      <c r="J23" s="74"/>
      <c r="K23" s="75"/>
      <c r="L23" s="74"/>
      <c r="M23" s="76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11" customFormat="1" ht="10.199999999999999">
      <c r="A24" s="72" t="s">
        <v>117</v>
      </c>
      <c r="B24" s="73">
        <v>0</v>
      </c>
      <c r="C24" s="74"/>
      <c r="D24" s="73">
        <v>0</v>
      </c>
      <c r="E24" s="73">
        <v>0</v>
      </c>
      <c r="F24" s="95"/>
      <c r="G24" s="73">
        <v>0</v>
      </c>
      <c r="H24" s="95"/>
      <c r="I24" s="73">
        <v>0</v>
      </c>
      <c r="J24" s="74"/>
      <c r="K24" s="75"/>
      <c r="L24" s="74"/>
      <c r="M24" s="76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1" customFormat="1" ht="10.199999999999999">
      <c r="A25" s="72" t="s">
        <v>118</v>
      </c>
      <c r="B25" s="73">
        <v>97</v>
      </c>
      <c r="C25" s="74">
        <f t="shared" si="1"/>
        <v>0.42647058823529416</v>
      </c>
      <c r="D25" s="73">
        <v>68</v>
      </c>
      <c r="E25" s="73">
        <v>85</v>
      </c>
      <c r="F25" s="95">
        <f t="shared" si="2"/>
        <v>8.9743589743589647E-2</v>
      </c>
      <c r="G25" s="73">
        <v>78</v>
      </c>
      <c r="H25" s="95">
        <f t="shared" si="2"/>
        <v>-0.11363636363636365</v>
      </c>
      <c r="I25" s="73">
        <v>88</v>
      </c>
      <c r="J25" s="74"/>
      <c r="K25" s="75"/>
      <c r="L25" s="74"/>
      <c r="M25" s="76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1" customFormat="1" ht="10.199999999999999">
      <c r="A26" s="72" t="s">
        <v>119</v>
      </c>
      <c r="B26" s="78">
        <v>491</v>
      </c>
      <c r="C26" s="74">
        <f t="shared" si="1"/>
        <v>-0.17755443886097155</v>
      </c>
      <c r="D26" s="78">
        <v>597</v>
      </c>
      <c r="E26" s="78">
        <v>583</v>
      </c>
      <c r="F26" s="95">
        <f t="shared" si="2"/>
        <v>-4.4262295081967218E-2</v>
      </c>
      <c r="G26" s="78">
        <v>610</v>
      </c>
      <c r="H26" s="95">
        <f t="shared" si="2"/>
        <v>-0.21391752577319589</v>
      </c>
      <c r="I26" s="78">
        <v>776</v>
      </c>
      <c r="J26" s="74"/>
      <c r="K26" s="79"/>
      <c r="L26" s="74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1" customFormat="1" ht="10.199999999999999">
      <c r="A27" s="72" t="s">
        <v>120</v>
      </c>
      <c r="B27" s="73">
        <v>383</v>
      </c>
      <c r="C27" s="74">
        <f t="shared" si="1"/>
        <v>-0.15265486725663713</v>
      </c>
      <c r="D27" s="73">
        <v>452</v>
      </c>
      <c r="E27" s="73">
        <v>420</v>
      </c>
      <c r="F27" s="95">
        <f t="shared" si="2"/>
        <v>-0.19075144508670516</v>
      </c>
      <c r="G27" s="73">
        <v>519</v>
      </c>
      <c r="H27" s="95">
        <f t="shared" si="2"/>
        <v>-0.24563953488372092</v>
      </c>
      <c r="I27" s="73">
        <v>688</v>
      </c>
      <c r="J27" s="74"/>
      <c r="K27" s="75"/>
      <c r="L27" s="74"/>
      <c r="M27" s="76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3" customFormat="1" ht="10.199999999999999">
      <c r="A28" s="72" t="s">
        <v>121</v>
      </c>
      <c r="B28" s="73">
        <v>3</v>
      </c>
      <c r="C28" s="74">
        <f t="shared" si="1"/>
        <v>-0.4</v>
      </c>
      <c r="D28" s="73">
        <v>5</v>
      </c>
      <c r="E28" s="73">
        <v>4</v>
      </c>
      <c r="F28" s="95">
        <f t="shared" si="2"/>
        <v>-0.66666666666666674</v>
      </c>
      <c r="G28" s="73">
        <v>12</v>
      </c>
      <c r="H28" s="95">
        <f t="shared" si="2"/>
        <v>0.33333333333333326</v>
      </c>
      <c r="I28" s="73">
        <v>9</v>
      </c>
      <c r="J28" s="74"/>
      <c r="K28" s="75"/>
      <c r="L28" s="74"/>
      <c r="M28" s="76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s="11" customFormat="1" ht="10.199999999999999">
      <c r="A29" s="72" t="s">
        <v>122</v>
      </c>
      <c r="B29" s="73">
        <v>503</v>
      </c>
      <c r="C29" s="74">
        <f t="shared" si="1"/>
        <v>-8.545454545454545E-2</v>
      </c>
      <c r="D29" s="73">
        <v>550</v>
      </c>
      <c r="E29" s="73">
        <v>511</v>
      </c>
      <c r="F29" s="95">
        <f t="shared" si="2"/>
        <v>-9.2362344582593292E-2</v>
      </c>
      <c r="G29" s="73">
        <v>563</v>
      </c>
      <c r="H29" s="95">
        <f t="shared" si="2"/>
        <v>1.307377049180328</v>
      </c>
      <c r="I29" s="73">
        <v>244</v>
      </c>
      <c r="J29" s="74"/>
      <c r="K29" s="75"/>
      <c r="L29" s="74"/>
      <c r="M29" s="76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1" customFormat="1" ht="10.199999999999999">
      <c r="A30" s="72" t="s">
        <v>123</v>
      </c>
      <c r="B30" s="73">
        <v>29</v>
      </c>
      <c r="C30" s="74">
        <f t="shared" si="1"/>
        <v>-0.8457446808510638</v>
      </c>
      <c r="D30" s="73">
        <v>188</v>
      </c>
      <c r="E30" s="73">
        <v>162</v>
      </c>
      <c r="F30" s="95">
        <f t="shared" si="2"/>
        <v>-0.50458715596330272</v>
      </c>
      <c r="G30" s="73">
        <v>327</v>
      </c>
      <c r="H30" s="95">
        <f t="shared" si="2"/>
        <v>-3.2544378698224907E-2</v>
      </c>
      <c r="I30" s="73">
        <v>338</v>
      </c>
      <c r="J30" s="74"/>
      <c r="K30" s="75"/>
      <c r="L30" s="74"/>
      <c r="M30" s="76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1" customFormat="1" ht="10.199999999999999">
      <c r="A31" s="72" t="s">
        <v>124</v>
      </c>
      <c r="B31" s="73">
        <v>106</v>
      </c>
      <c r="C31" s="74">
        <f t="shared" si="1"/>
        <v>-0.54506437768240346</v>
      </c>
      <c r="D31" s="73">
        <v>233</v>
      </c>
      <c r="E31" s="73">
        <v>191</v>
      </c>
      <c r="F31" s="95">
        <f t="shared" si="2"/>
        <v>-0.25968992248062017</v>
      </c>
      <c r="G31" s="73">
        <v>258</v>
      </c>
      <c r="H31" s="95">
        <f t="shared" si="2"/>
        <v>0.70860927152317887</v>
      </c>
      <c r="I31" s="73">
        <v>151</v>
      </c>
      <c r="J31" s="74"/>
      <c r="K31" s="75"/>
      <c r="L31" s="74"/>
      <c r="M31" s="76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1" customFormat="1" ht="10.199999999999999">
      <c r="A32" s="72" t="s">
        <v>125</v>
      </c>
      <c r="B32" s="73">
        <v>50</v>
      </c>
      <c r="C32" s="74">
        <f t="shared" si="1"/>
        <v>0.47058823529411775</v>
      </c>
      <c r="D32" s="73">
        <v>34</v>
      </c>
      <c r="E32" s="73">
        <v>43</v>
      </c>
      <c r="F32" s="95">
        <f t="shared" si="2"/>
        <v>0.43333333333333335</v>
      </c>
      <c r="G32" s="73">
        <v>30</v>
      </c>
      <c r="H32" s="95">
        <f t="shared" si="2"/>
        <v>7.1428571428571397E-2</v>
      </c>
      <c r="I32" s="73">
        <v>28</v>
      </c>
      <c r="J32" s="81"/>
      <c r="K32" s="75"/>
      <c r="L32" s="81"/>
      <c r="M32" s="76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1" customFormat="1" ht="10.199999999999999">
      <c r="A33" s="72" t="s">
        <v>126</v>
      </c>
      <c r="B33" s="82">
        <v>61</v>
      </c>
      <c r="C33" s="74">
        <f t="shared" si="1"/>
        <v>7.7142857142857135</v>
      </c>
      <c r="D33" s="82">
        <v>7</v>
      </c>
      <c r="E33" s="82">
        <v>35</v>
      </c>
      <c r="F33" s="95">
        <f t="shared" si="2"/>
        <v>1.9166666666666665</v>
      </c>
      <c r="G33" s="82">
        <v>12</v>
      </c>
      <c r="H33" s="95">
        <f t="shared" si="2"/>
        <v>2</v>
      </c>
      <c r="I33" s="82">
        <v>4</v>
      </c>
      <c r="J33" s="74"/>
      <c r="K33" s="83"/>
      <c r="L33" s="74"/>
      <c r="M33" s="82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11" customFormat="1" ht="10.199999999999999">
      <c r="A34" s="72" t="s">
        <v>127</v>
      </c>
      <c r="B34" s="82">
        <v>0</v>
      </c>
      <c r="C34" s="74">
        <f t="shared" si="1"/>
        <v>-1</v>
      </c>
      <c r="D34" s="82">
        <v>1</v>
      </c>
      <c r="E34" s="82">
        <v>1</v>
      </c>
      <c r="F34" s="95">
        <f t="shared" si="2"/>
        <v>-0.8</v>
      </c>
      <c r="G34" s="82">
        <v>5</v>
      </c>
      <c r="H34" s="95">
        <f t="shared" si="2"/>
        <v>-0.16666666666666663</v>
      </c>
      <c r="I34" s="82">
        <v>6</v>
      </c>
      <c r="J34" s="74"/>
      <c r="K34" s="83"/>
      <c r="L34" s="74"/>
      <c r="M34" s="82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11" customFormat="1" ht="10.199999999999999">
      <c r="A35" s="80" t="s">
        <v>106</v>
      </c>
      <c r="B35" s="84">
        <f>B13</f>
        <v>15923</v>
      </c>
      <c r="C35" s="74">
        <f t="shared" si="1"/>
        <v>-1.6977404617854019E-2</v>
      </c>
      <c r="D35" s="84">
        <f>D13</f>
        <v>16198</v>
      </c>
      <c r="E35" s="84">
        <f>E13</f>
        <v>16658</v>
      </c>
      <c r="F35" s="95">
        <f t="shared" si="2"/>
        <v>-1.7111163559122011E-2</v>
      </c>
      <c r="G35" s="84">
        <f>G13</f>
        <v>16948</v>
      </c>
      <c r="H35" s="95">
        <f t="shared" si="2"/>
        <v>5.3390515258872506E-2</v>
      </c>
      <c r="I35" s="84">
        <f>I13</f>
        <v>16089</v>
      </c>
      <c r="J35" s="74"/>
      <c r="K35" s="85"/>
      <c r="L35" s="74"/>
      <c r="M35" s="82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1" customFormat="1" ht="10.199999999999999">
      <c r="A36" s="80" t="s">
        <v>107</v>
      </c>
      <c r="B36" s="84">
        <f>B14</f>
        <v>100</v>
      </c>
      <c r="C36" s="74">
        <f t="shared" si="1"/>
        <v>3.0927835051546282E-2</v>
      </c>
      <c r="D36" s="84">
        <f>D14</f>
        <v>97</v>
      </c>
      <c r="E36" s="84">
        <f>E14</f>
        <v>116</v>
      </c>
      <c r="F36" s="95">
        <f t="shared" si="2"/>
        <v>4.5045045045045029E-2</v>
      </c>
      <c r="G36" s="84">
        <f>G14</f>
        <v>111</v>
      </c>
      <c r="H36" s="95">
        <f t="shared" si="2"/>
        <v>-1.7699115044247815E-2</v>
      </c>
      <c r="I36" s="84">
        <f>I14</f>
        <v>113</v>
      </c>
      <c r="J36" s="74"/>
      <c r="K36" s="85"/>
      <c r="L36" s="74"/>
      <c r="M36" s="82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3" customFormat="1" ht="10.199999999999999">
      <c r="A37" s="80" t="s">
        <v>128</v>
      </c>
      <c r="B37" s="78">
        <f>B15+B16+B17+B18+B19+B20+B21+B22+B23+B24</f>
        <v>3601</v>
      </c>
      <c r="C37" s="74">
        <f t="shared" si="1"/>
        <v>6.2241887905604809E-2</v>
      </c>
      <c r="D37" s="78">
        <f>D15+D16+D17+D18+D19+D20+D21+D22+D23+D24</f>
        <v>3390</v>
      </c>
      <c r="E37" s="78">
        <f>E15+E16+E17+E18+E19+E20+E21+E22+E23+E24</f>
        <v>3612</v>
      </c>
      <c r="F37" s="95">
        <f t="shared" si="2"/>
        <v>-1.0410958904109591E-2</v>
      </c>
      <c r="G37" s="78">
        <f>G15+G16+G17+G18+G19+G20+G21+G22+G23+G24</f>
        <v>3650</v>
      </c>
      <c r="H37" s="95">
        <f t="shared" si="2"/>
        <v>-0.1228070175438597</v>
      </c>
      <c r="I37" s="78">
        <f>I15+I16+I17+I18+I19+I20+I21+I22+I23+I24</f>
        <v>4161</v>
      </c>
      <c r="J37" s="74"/>
      <c r="K37" s="79"/>
      <c r="L37" s="74"/>
      <c r="M37" s="86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3" customFormat="1" ht="10.199999999999999">
      <c r="A38" s="80" t="s">
        <v>129</v>
      </c>
      <c r="B38" s="78">
        <f>B25+B26+B27+B28+B29+B30</f>
        <v>1506</v>
      </c>
      <c r="C38" s="74">
        <f t="shared" si="1"/>
        <v>-0.19032258064516128</v>
      </c>
      <c r="D38" s="78">
        <f>D25+D26+D27+D28+D29+D30</f>
        <v>1860</v>
      </c>
      <c r="E38" s="78">
        <f>E25+E26+E27+E28+E29+E30</f>
        <v>1765</v>
      </c>
      <c r="F38" s="95">
        <f t="shared" si="2"/>
        <v>-0.16311047889995256</v>
      </c>
      <c r="G38" s="78">
        <f>G25+G26+G27+G28+G29+G30</f>
        <v>2109</v>
      </c>
      <c r="H38" s="95">
        <f t="shared" si="2"/>
        <v>-1.5865608959402699E-2</v>
      </c>
      <c r="I38" s="78">
        <f>I25+I26+I27+I28+I29+I30</f>
        <v>2143</v>
      </c>
      <c r="J38" s="74"/>
      <c r="K38" s="79"/>
      <c r="L38" s="74"/>
      <c r="M38" s="86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11" customFormat="1" ht="10.199999999999999">
      <c r="A39" s="80" t="s">
        <v>130</v>
      </c>
      <c r="B39" s="78">
        <f>B31+B32+B33+B34</f>
        <v>217</v>
      </c>
      <c r="C39" s="74">
        <f t="shared" si="1"/>
        <v>-0.21090909090909093</v>
      </c>
      <c r="D39" s="78">
        <f>D31+D32+D33+D34</f>
        <v>275</v>
      </c>
      <c r="E39" s="78">
        <f>E31+E32+E33+E34</f>
        <v>270</v>
      </c>
      <c r="F39" s="95">
        <f t="shared" si="2"/>
        <v>-0.11475409836065575</v>
      </c>
      <c r="G39" s="78">
        <f>G31+G32+G33+G34</f>
        <v>305</v>
      </c>
      <c r="H39" s="95">
        <f t="shared" si="2"/>
        <v>0.61375661375661372</v>
      </c>
      <c r="I39" s="78">
        <f>I31+I32+I33+I34</f>
        <v>189</v>
      </c>
      <c r="J39" s="74"/>
      <c r="K39" s="79"/>
      <c r="L39" s="74"/>
      <c r="M39" s="86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3" customFormat="1" ht="10.199999999999999">
      <c r="A40" s="70" t="s">
        <v>131</v>
      </c>
      <c r="B40" s="87">
        <f>SUM(B35:B39)</f>
        <v>21347</v>
      </c>
      <c r="C40" s="63">
        <f t="shared" si="1"/>
        <v>-2.1677360219981678E-2</v>
      </c>
      <c r="D40" s="87">
        <f>SUM(D35:D39)</f>
        <v>21820</v>
      </c>
      <c r="E40" s="87">
        <f>SUM(E35:E39)</f>
        <v>22421</v>
      </c>
      <c r="F40" s="241">
        <f t="shared" ref="F40:H40" si="3">IF((+E40/G40)&lt;0,"n.m.",IF(E40&lt;0,(+E40/G40-1)*-1,(+E40/G40-1)))</f>
        <v>-3.0359382433075344E-2</v>
      </c>
      <c r="G40" s="87">
        <f>SUM(G35:G39)</f>
        <v>23123</v>
      </c>
      <c r="H40" s="241">
        <f t="shared" si="3"/>
        <v>1.885877946684289E-2</v>
      </c>
      <c r="I40" s="87">
        <f>SUM(I35:I39)</f>
        <v>22695</v>
      </c>
      <c r="J40" s="63">
        <f>(I40-K40)/K40</f>
        <v>-9.6104827146726149E-2</v>
      </c>
      <c r="K40" s="88">
        <v>25108</v>
      </c>
      <c r="L40" s="63">
        <f>(K40-M40)/M40</f>
        <v>-3.2894230028503196E-2</v>
      </c>
      <c r="M40" s="88">
        <v>25962</v>
      </c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93" customFormat="1" ht="10.199999999999999">
      <c r="A41" s="89" t="s">
        <v>141</v>
      </c>
      <c r="B41" s="90">
        <f>B40/Group!B153</f>
        <v>0.31024008836181838</v>
      </c>
      <c r="C41" s="74"/>
      <c r="D41" s="90">
        <f>D40/Group!D153</f>
        <v>0.30656401034056424</v>
      </c>
      <c r="E41" s="90">
        <f>E40/Group!E153</f>
        <v>0.30581736343176702</v>
      </c>
      <c r="F41" s="74"/>
      <c r="G41" s="90">
        <f>G40/Group!G153</f>
        <v>0.31716182481551586</v>
      </c>
      <c r="H41" s="91"/>
      <c r="I41" s="90">
        <f>I40/Group!I153</f>
        <v>0.31046511627906975</v>
      </c>
      <c r="J41" s="91"/>
      <c r="K41" s="91">
        <f>K40/Group!K153</f>
        <v>0.33925145250641803</v>
      </c>
      <c r="L41" s="91"/>
      <c r="M41" s="91">
        <f>M40/Group!M153</f>
        <v>0.33775661540863322</v>
      </c>
      <c r="N41" s="92"/>
      <c r="O41" s="92"/>
      <c r="P41" s="92"/>
      <c r="Q41" s="92"/>
      <c r="R41" s="92"/>
      <c r="S41" s="92"/>
      <c r="T41" s="92"/>
      <c r="U41" s="92"/>
      <c r="V41" s="92"/>
      <c r="W41" s="92"/>
    </row>
    <row r="42" spans="1:23" ht="12" customHeight="1">
      <c r="A42" s="66"/>
      <c r="B42" s="69"/>
      <c r="C42" s="74"/>
      <c r="D42" s="69"/>
      <c r="E42" s="69"/>
      <c r="F42" s="68"/>
      <c r="G42" s="69"/>
      <c r="H42" s="68"/>
      <c r="I42" s="69"/>
      <c r="J42" s="68"/>
      <c r="K42" s="69"/>
      <c r="L42" s="64"/>
      <c r="M42" s="69"/>
    </row>
    <row r="43" spans="1:23" s="65" customFormat="1" ht="12" customHeight="1">
      <c r="A43" s="70" t="s">
        <v>4</v>
      </c>
      <c r="B43" s="71"/>
      <c r="C43" s="74"/>
      <c r="D43" s="71"/>
      <c r="E43" s="71"/>
      <c r="F43" s="68"/>
      <c r="G43" s="71"/>
      <c r="H43" s="68"/>
      <c r="I43" s="71"/>
      <c r="J43" s="68"/>
      <c r="K43" s="71"/>
      <c r="L43" s="64"/>
      <c r="M43" s="71"/>
    </row>
    <row r="44" spans="1:23" s="3" customFormat="1" ht="10.199999999999999">
      <c r="A44" s="72" t="s">
        <v>106</v>
      </c>
      <c r="B44" s="94">
        <v>740.28</v>
      </c>
      <c r="C44" s="74">
        <f t="shared" si="1"/>
        <v>-7.5054663584681713E-2</v>
      </c>
      <c r="D44" s="94">
        <v>800.35</v>
      </c>
      <c r="E44" s="94">
        <v>4665.25</v>
      </c>
      <c r="F44" s="95">
        <f t="shared" ref="F44:H70" si="4">IF((+E44/G44)&lt;0,"n.m.",IF(E44&lt;0,(+E44/G44-1)*-1,(+E44/G44-1)))</f>
        <v>3.1113060604888165E-3</v>
      </c>
      <c r="G44" s="94">
        <v>4650.78</v>
      </c>
      <c r="H44" s="95">
        <f t="shared" si="4"/>
        <v>8.9494582723279592E-2</v>
      </c>
      <c r="I44" s="94">
        <v>4268.75</v>
      </c>
      <c r="J44" s="74"/>
      <c r="K44" s="246"/>
      <c r="L44" s="74"/>
      <c r="M44" s="76"/>
      <c r="N44" s="7"/>
      <c r="O44" s="9"/>
      <c r="P44" s="7"/>
      <c r="Q44" s="7"/>
      <c r="R44" s="7"/>
      <c r="S44" s="7"/>
      <c r="T44" s="7"/>
      <c r="U44" s="7"/>
      <c r="V44" s="7"/>
      <c r="W44" s="7"/>
    </row>
    <row r="45" spans="1:23" s="3" customFormat="1" ht="10.199999999999999">
      <c r="A45" s="72" t="s">
        <v>107</v>
      </c>
      <c r="B45" s="94">
        <v>4.33</v>
      </c>
      <c r="C45" s="74">
        <f>IF((+B45/D45)&lt;0,"n.m.",IF(B45&lt;0,(+B45/D45-1)*-1,(+B45/D45-1)))</f>
        <v>0.50347222222222232</v>
      </c>
      <c r="D45" s="94">
        <v>2.88</v>
      </c>
      <c r="E45" s="94">
        <v>19.440000000000001</v>
      </c>
      <c r="F45" s="95">
        <f t="shared" si="4"/>
        <v>-3.6669970267591556E-2</v>
      </c>
      <c r="G45" s="94">
        <v>20.18</v>
      </c>
      <c r="H45" s="95">
        <f t="shared" si="4"/>
        <v>-3.4911525585844094E-2</v>
      </c>
      <c r="I45" s="94">
        <v>20.91</v>
      </c>
      <c r="J45" s="74"/>
      <c r="K45" s="246"/>
      <c r="L45" s="74"/>
      <c r="M45" s="76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3" customFormat="1" ht="10.199999999999999">
      <c r="A46" s="72" t="s">
        <v>108</v>
      </c>
      <c r="B46" s="94">
        <v>88.03</v>
      </c>
      <c r="C46" s="74">
        <f t="shared" si="1"/>
        <v>-0.27469720688802834</v>
      </c>
      <c r="D46" s="94">
        <v>121.37</v>
      </c>
      <c r="E46" s="94">
        <v>852.09</v>
      </c>
      <c r="F46" s="95">
        <f t="shared" si="4"/>
        <v>0.22908823402137712</v>
      </c>
      <c r="G46" s="94">
        <v>693.27</v>
      </c>
      <c r="H46" s="95">
        <f t="shared" si="4"/>
        <v>3.6309007743131172E-2</v>
      </c>
      <c r="I46" s="94">
        <v>668.98</v>
      </c>
      <c r="J46" s="74"/>
      <c r="K46" s="246"/>
      <c r="L46" s="74"/>
      <c r="M46" s="76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3" customFormat="1" ht="10.199999999999999">
      <c r="A47" s="72" t="s">
        <v>109</v>
      </c>
      <c r="B47" s="94">
        <v>0</v>
      </c>
      <c r="C47" s="74"/>
      <c r="D47" s="94">
        <v>0</v>
      </c>
      <c r="E47" s="94">
        <v>0.31</v>
      </c>
      <c r="F47" s="95"/>
      <c r="G47" s="94">
        <v>0</v>
      </c>
      <c r="H47" s="95">
        <f t="shared" si="4"/>
        <v>-1</v>
      </c>
      <c r="I47" s="94">
        <v>0.01</v>
      </c>
      <c r="J47" s="74"/>
      <c r="K47" s="246"/>
      <c r="L47" s="74"/>
      <c r="M47" s="76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11" customFormat="1" ht="10.199999999999999">
      <c r="A48" s="72" t="s">
        <v>110</v>
      </c>
      <c r="B48" s="94">
        <v>0</v>
      </c>
      <c r="C48" s="74"/>
      <c r="D48" s="94">
        <v>0</v>
      </c>
      <c r="E48" s="94">
        <v>0.86</v>
      </c>
      <c r="F48" s="95">
        <f t="shared" si="4"/>
        <v>7.6</v>
      </c>
      <c r="G48" s="94">
        <v>0.1</v>
      </c>
      <c r="H48" s="95">
        <f t="shared" si="4"/>
        <v>-0.96598639455782309</v>
      </c>
      <c r="I48" s="94">
        <v>2.94</v>
      </c>
      <c r="J48" s="74"/>
      <c r="K48" s="246"/>
      <c r="L48" s="74"/>
      <c r="M48" s="76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1" customFormat="1" ht="10.199999999999999">
      <c r="A49" s="72" t="s">
        <v>111</v>
      </c>
      <c r="B49" s="94">
        <v>-0.37</v>
      </c>
      <c r="C49" s="74" t="str">
        <f t="shared" si="1"/>
        <v>n.m.</v>
      </c>
      <c r="D49" s="94">
        <v>3.84</v>
      </c>
      <c r="E49" s="94">
        <v>38.96</v>
      </c>
      <c r="F49" s="95">
        <f t="shared" si="4"/>
        <v>-0.54517861312164362</v>
      </c>
      <c r="G49" s="94">
        <v>85.66</v>
      </c>
      <c r="H49" s="95">
        <f t="shared" si="4"/>
        <v>-0.39135995452607653</v>
      </c>
      <c r="I49" s="94">
        <v>140.74</v>
      </c>
      <c r="J49" s="74"/>
      <c r="K49" s="246"/>
      <c r="L49" s="74"/>
      <c r="M49" s="76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1" customFormat="1" ht="10.199999999999999">
      <c r="A50" s="72" t="s">
        <v>112</v>
      </c>
      <c r="B50" s="94">
        <v>0</v>
      </c>
      <c r="C50" s="74"/>
      <c r="D50" s="94">
        <v>0</v>
      </c>
      <c r="E50" s="94">
        <v>0.02</v>
      </c>
      <c r="F50" s="95"/>
      <c r="G50" s="94">
        <v>0</v>
      </c>
      <c r="H50" s="95"/>
      <c r="I50" s="94">
        <v>0</v>
      </c>
      <c r="J50" s="74"/>
      <c r="K50" s="246"/>
      <c r="L50" s="74"/>
      <c r="M50" s="76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1" customFormat="1" ht="10.199999999999999">
      <c r="A51" s="72" t="s">
        <v>113</v>
      </c>
      <c r="B51" s="94">
        <v>1.42</v>
      </c>
      <c r="C51" s="74">
        <f t="shared" si="1"/>
        <v>-0.1393939393939394</v>
      </c>
      <c r="D51" s="94">
        <v>1.65</v>
      </c>
      <c r="E51" s="94">
        <v>7.95</v>
      </c>
      <c r="F51" s="95">
        <f t="shared" si="4"/>
        <v>0.35665529010238894</v>
      </c>
      <c r="G51" s="94">
        <v>5.86</v>
      </c>
      <c r="H51" s="95">
        <f t="shared" si="4"/>
        <v>0.36279069767441863</v>
      </c>
      <c r="I51" s="94">
        <v>4.3</v>
      </c>
      <c r="J51" s="74"/>
      <c r="K51" s="246"/>
      <c r="L51" s="74"/>
      <c r="M51" s="76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1" customFormat="1" ht="10.199999999999999">
      <c r="A52" s="72" t="s">
        <v>114</v>
      </c>
      <c r="B52" s="94">
        <v>0</v>
      </c>
      <c r="C52" s="74"/>
      <c r="D52" s="94">
        <v>0</v>
      </c>
      <c r="E52" s="94">
        <v>0.19</v>
      </c>
      <c r="F52" s="95"/>
      <c r="G52" s="94">
        <v>0</v>
      </c>
      <c r="H52" s="95"/>
      <c r="I52" s="94">
        <v>0</v>
      </c>
      <c r="J52" s="74"/>
      <c r="K52" s="246"/>
      <c r="L52" s="74"/>
      <c r="M52" s="76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1" customFormat="1" ht="10.199999999999999">
      <c r="A53" s="72" t="s">
        <v>115</v>
      </c>
      <c r="B53" s="94">
        <v>0</v>
      </c>
      <c r="C53" s="74"/>
      <c r="D53" s="94">
        <v>0</v>
      </c>
      <c r="E53" s="94">
        <v>0</v>
      </c>
      <c r="F53" s="95"/>
      <c r="G53" s="94">
        <v>0</v>
      </c>
      <c r="H53" s="95">
        <f t="shared" si="4"/>
        <v>-1</v>
      </c>
      <c r="I53" s="94">
        <v>10.38</v>
      </c>
      <c r="J53" s="74"/>
      <c r="K53" s="246"/>
      <c r="L53" s="74"/>
      <c r="M53" s="76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1" customFormat="1" ht="10.199999999999999">
      <c r="A54" s="72" t="s">
        <v>116</v>
      </c>
      <c r="B54" s="94">
        <v>0</v>
      </c>
      <c r="C54" s="74"/>
      <c r="D54" s="94">
        <v>0</v>
      </c>
      <c r="E54" s="94">
        <v>0</v>
      </c>
      <c r="F54" s="95"/>
      <c r="G54" s="94">
        <v>0</v>
      </c>
      <c r="H54" s="95">
        <f t="shared" si="4"/>
        <v>-1</v>
      </c>
      <c r="I54" s="94">
        <v>-0.01</v>
      </c>
      <c r="J54" s="74"/>
      <c r="K54" s="246"/>
      <c r="L54" s="74"/>
      <c r="M54" s="76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1" customFormat="1" ht="10.199999999999999">
      <c r="A55" s="72" t="s">
        <v>117</v>
      </c>
      <c r="B55" s="94">
        <v>0</v>
      </c>
      <c r="C55" s="74"/>
      <c r="D55" s="94">
        <v>0</v>
      </c>
      <c r="E55" s="94">
        <v>0</v>
      </c>
      <c r="F55" s="95"/>
      <c r="G55" s="94">
        <v>0</v>
      </c>
      <c r="H55" s="95"/>
      <c r="I55" s="94">
        <v>0</v>
      </c>
      <c r="J55" s="74"/>
      <c r="K55" s="246"/>
      <c r="L55" s="74"/>
      <c r="M55" s="76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1" customFormat="1" ht="10.199999999999999">
      <c r="A56" s="72" t="s">
        <v>118</v>
      </c>
      <c r="B56" s="94">
        <v>6.18</v>
      </c>
      <c r="C56" s="74">
        <f t="shared" si="1"/>
        <v>8.9947089947089998E-2</v>
      </c>
      <c r="D56" s="94">
        <v>5.67</v>
      </c>
      <c r="E56" s="94">
        <v>28.31</v>
      </c>
      <c r="F56" s="95">
        <f t="shared" si="4"/>
        <v>3.5448422545196756E-3</v>
      </c>
      <c r="G56" s="94">
        <v>28.21</v>
      </c>
      <c r="H56" s="95">
        <f t="shared" si="4"/>
        <v>-0.19857954545454548</v>
      </c>
      <c r="I56" s="94">
        <v>35.200000000000003</v>
      </c>
      <c r="J56" s="74"/>
      <c r="K56" s="246"/>
      <c r="L56" s="74"/>
      <c r="M56" s="76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1" customFormat="1" ht="10.199999999999999">
      <c r="A57" s="72" t="s">
        <v>119</v>
      </c>
      <c r="B57" s="96">
        <v>44.61</v>
      </c>
      <c r="C57" s="74">
        <f t="shared" si="1"/>
        <v>-0.15351043643263762</v>
      </c>
      <c r="D57" s="96">
        <v>52.7</v>
      </c>
      <c r="E57" s="96">
        <v>226.86</v>
      </c>
      <c r="F57" s="95">
        <f t="shared" si="4"/>
        <v>-0.1162102146558105</v>
      </c>
      <c r="G57" s="96">
        <v>256.69</v>
      </c>
      <c r="H57" s="95">
        <f t="shared" si="4"/>
        <v>-0.16699659256855426</v>
      </c>
      <c r="I57" s="96">
        <v>308.14999999999998</v>
      </c>
      <c r="J57" s="74"/>
      <c r="K57" s="247"/>
      <c r="L57" s="74"/>
      <c r="M57" s="80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1" customFormat="1" ht="10.199999999999999">
      <c r="A58" s="72" t="s">
        <v>120</v>
      </c>
      <c r="B58" s="94">
        <v>35.54</v>
      </c>
      <c r="C58" s="74">
        <f>IF((+B58/D58)&lt;0,"n.m.",IF(B58&lt;0,(+B58/D58-1)*-1,(+B58/D58-1)))</f>
        <v>-0.33768169959001115</v>
      </c>
      <c r="D58" s="94">
        <v>53.66</v>
      </c>
      <c r="E58" s="94">
        <v>209.63</v>
      </c>
      <c r="F58" s="95">
        <f t="shared" si="4"/>
        <v>-0.14544861603685133</v>
      </c>
      <c r="G58" s="94">
        <v>245.31</v>
      </c>
      <c r="H58" s="95">
        <f t="shared" si="4"/>
        <v>-0.213144726712856</v>
      </c>
      <c r="I58" s="94">
        <v>311.76</v>
      </c>
      <c r="J58" s="74"/>
      <c r="K58" s="246"/>
      <c r="L58" s="74"/>
      <c r="M58" s="76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3" customFormat="1" ht="10.199999999999999">
      <c r="A59" s="72" t="s">
        <v>121</v>
      </c>
      <c r="B59" s="94">
        <v>0</v>
      </c>
      <c r="C59" s="74">
        <f>IF((+B59/D59)&lt;0,"n.m.",IF(B59&lt;0,(+B59/D59-1)*-1,(+B59/D59-1)))</f>
        <v>-1</v>
      </c>
      <c r="D59" s="94">
        <v>0.18000000000000002</v>
      </c>
      <c r="E59" s="94">
        <v>0.37</v>
      </c>
      <c r="F59" s="95">
        <f t="shared" si="4"/>
        <v>-0.84188034188034189</v>
      </c>
      <c r="G59" s="94">
        <v>2.34</v>
      </c>
      <c r="H59" s="95">
        <f t="shared" si="4"/>
        <v>-0.66475644699140402</v>
      </c>
      <c r="I59" s="94">
        <v>6.98</v>
      </c>
      <c r="J59" s="74"/>
      <c r="K59" s="246"/>
      <c r="L59" s="74"/>
      <c r="M59" s="76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11" customFormat="1" ht="10.199999999999999">
      <c r="A60" s="72" t="s">
        <v>122</v>
      </c>
      <c r="B60" s="94">
        <v>57.39</v>
      </c>
      <c r="C60" s="74">
        <f t="shared" si="1"/>
        <v>0.27931341952741873</v>
      </c>
      <c r="D60" s="94">
        <v>44.86</v>
      </c>
      <c r="E60" s="94">
        <v>213.21</v>
      </c>
      <c r="F60" s="95">
        <f t="shared" si="4"/>
        <v>0.11412447092020694</v>
      </c>
      <c r="G60" s="94">
        <v>191.37</v>
      </c>
      <c r="H60" s="95">
        <f t="shared" si="4"/>
        <v>0.28169580068314248</v>
      </c>
      <c r="I60" s="94">
        <v>149.31</v>
      </c>
      <c r="J60" s="74"/>
      <c r="K60" s="246"/>
      <c r="L60" s="74"/>
      <c r="M60" s="76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1" customFormat="1" ht="10.199999999999999">
      <c r="A61" s="72" t="s">
        <v>123</v>
      </c>
      <c r="B61" s="94">
        <v>1.24</v>
      </c>
      <c r="C61" s="74">
        <f t="shared" si="1"/>
        <v>-0.85681293302540418</v>
      </c>
      <c r="D61" s="94">
        <v>8.66</v>
      </c>
      <c r="E61" s="94">
        <v>48.8</v>
      </c>
      <c r="F61" s="95">
        <f t="shared" si="4"/>
        <v>-0.2884222805482648</v>
      </c>
      <c r="G61" s="94">
        <v>68.58</v>
      </c>
      <c r="H61" s="95">
        <f t="shared" si="4"/>
        <v>-5.3662073966642687E-3</v>
      </c>
      <c r="I61" s="94">
        <v>68.95</v>
      </c>
      <c r="J61" s="74"/>
      <c r="K61" s="246"/>
      <c r="L61" s="74"/>
      <c r="M61" s="76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1" customFormat="1" ht="10.199999999999999">
      <c r="A62" s="72" t="s">
        <v>124</v>
      </c>
      <c r="B62" s="94">
        <v>3.68</v>
      </c>
      <c r="C62" s="74">
        <f t="shared" si="1"/>
        <v>-4.166666666666663E-2</v>
      </c>
      <c r="D62" s="94">
        <v>3.84</v>
      </c>
      <c r="E62" s="94">
        <v>17.309999999999999</v>
      </c>
      <c r="F62" s="95">
        <f t="shared" si="4"/>
        <v>0.26166180758017488</v>
      </c>
      <c r="G62" s="94">
        <v>13.72</v>
      </c>
      <c r="H62" s="95">
        <f t="shared" si="4"/>
        <v>0.97410071942446042</v>
      </c>
      <c r="I62" s="94">
        <v>6.95</v>
      </c>
      <c r="J62" s="74"/>
      <c r="K62" s="246"/>
      <c r="L62" s="74"/>
      <c r="M62" s="76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1" customFormat="1" ht="10.199999999999999">
      <c r="A63" s="72" t="s">
        <v>125</v>
      </c>
      <c r="B63" s="94">
        <v>1.1000000000000001</v>
      </c>
      <c r="C63" s="74">
        <f t="shared" si="1"/>
        <v>-0.89880404783808643</v>
      </c>
      <c r="D63" s="94">
        <v>10.87</v>
      </c>
      <c r="E63" s="94">
        <v>28.16</v>
      </c>
      <c r="F63" s="95">
        <f t="shared" si="4"/>
        <v>0.34736842105263177</v>
      </c>
      <c r="G63" s="94">
        <v>20.9</v>
      </c>
      <c r="H63" s="95">
        <f t="shared" si="4"/>
        <v>1.2692725298588488</v>
      </c>
      <c r="I63" s="94">
        <v>9.2100000000000009</v>
      </c>
      <c r="J63" s="81"/>
      <c r="K63" s="246"/>
      <c r="L63" s="81"/>
      <c r="M63" s="76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1" customFormat="1" ht="10.199999999999999">
      <c r="A64" s="72" t="s">
        <v>126</v>
      </c>
      <c r="B64" s="97">
        <v>6.99</v>
      </c>
      <c r="C64" s="74">
        <f t="shared" si="1"/>
        <v>8.1973684210526319</v>
      </c>
      <c r="D64" s="97">
        <v>0.76</v>
      </c>
      <c r="E64" s="97">
        <v>10.54</v>
      </c>
      <c r="F64" s="95">
        <f t="shared" si="4"/>
        <v>0.33586818757921422</v>
      </c>
      <c r="G64" s="97">
        <v>7.89</v>
      </c>
      <c r="H64" s="95">
        <f t="shared" si="4"/>
        <v>1.9222222222222221</v>
      </c>
      <c r="I64" s="97">
        <v>2.7</v>
      </c>
      <c r="J64" s="74"/>
      <c r="K64" s="248"/>
      <c r="L64" s="74"/>
      <c r="M64" s="82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1" customFormat="1" ht="10.199999999999999">
      <c r="A65" s="72" t="s">
        <v>127</v>
      </c>
      <c r="B65" s="97">
        <v>1.51</v>
      </c>
      <c r="C65" s="74">
        <f>IF((+B65/D65)&lt;0,"n.m.",IF(B65&lt;0,(+B65/D65-1)*-1,(+B65/D65-1)))</f>
        <v>9.7857142857142847</v>
      </c>
      <c r="D65" s="97">
        <v>0.14000000000000001</v>
      </c>
      <c r="E65" s="97">
        <v>0.14000000000000001</v>
      </c>
      <c r="F65" s="95">
        <f t="shared" si="4"/>
        <v>-0.91194968553459121</v>
      </c>
      <c r="G65" s="97">
        <v>1.59</v>
      </c>
      <c r="H65" s="95">
        <f t="shared" si="4"/>
        <v>-0.67551020408163265</v>
      </c>
      <c r="I65" s="97">
        <v>4.9000000000000004</v>
      </c>
      <c r="J65" s="74"/>
      <c r="K65" s="248"/>
      <c r="L65" s="74"/>
      <c r="M65" s="82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1" customFormat="1" ht="10.199999999999999">
      <c r="A66" s="80" t="s">
        <v>106</v>
      </c>
      <c r="B66" s="98">
        <f>B44</f>
        <v>740.28</v>
      </c>
      <c r="C66" s="74">
        <f t="shared" si="1"/>
        <v>-7.5054663584681713E-2</v>
      </c>
      <c r="D66" s="98">
        <f>D44</f>
        <v>800.35</v>
      </c>
      <c r="E66" s="98">
        <f>E44</f>
        <v>4665.25</v>
      </c>
      <c r="F66" s="95">
        <f t="shared" si="4"/>
        <v>3.1113060604888165E-3</v>
      </c>
      <c r="G66" s="98">
        <f>G44</f>
        <v>4650.78</v>
      </c>
      <c r="H66" s="95">
        <f t="shared" si="4"/>
        <v>8.9494582723279592E-2</v>
      </c>
      <c r="I66" s="98">
        <f>I44</f>
        <v>4268.75</v>
      </c>
      <c r="J66" s="74"/>
      <c r="K66" s="85"/>
      <c r="L66" s="74"/>
      <c r="M66" s="82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1" customFormat="1" ht="10.199999999999999">
      <c r="A67" s="80" t="s">
        <v>107</v>
      </c>
      <c r="B67" s="98">
        <f>B45</f>
        <v>4.33</v>
      </c>
      <c r="C67" s="74">
        <f t="shared" si="1"/>
        <v>0.50347222222222232</v>
      </c>
      <c r="D67" s="98">
        <f>D45</f>
        <v>2.88</v>
      </c>
      <c r="E67" s="98">
        <f>E45</f>
        <v>19.440000000000001</v>
      </c>
      <c r="F67" s="95">
        <f t="shared" si="4"/>
        <v>-3.6669970267591556E-2</v>
      </c>
      <c r="G67" s="98">
        <f>G45</f>
        <v>20.18</v>
      </c>
      <c r="H67" s="95">
        <f t="shared" si="4"/>
        <v>-3.4911525585844094E-2</v>
      </c>
      <c r="I67" s="98">
        <f>I45</f>
        <v>20.91</v>
      </c>
      <c r="J67" s="74"/>
      <c r="K67" s="85"/>
      <c r="L67" s="74"/>
      <c r="M67" s="82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3" customFormat="1" ht="10.199999999999999">
      <c r="A68" s="80" t="s">
        <v>128</v>
      </c>
      <c r="B68" s="96">
        <f>B46+B47+B48+B49+B50+B51+B52+B53+B54+B55</f>
        <v>89.08</v>
      </c>
      <c r="C68" s="74">
        <f t="shared" si="1"/>
        <v>-0.29780860791423625</v>
      </c>
      <c r="D68" s="96">
        <f>D46+D47+D48+D49+D50+D51+D52+D53+D54+D55</f>
        <v>126.86000000000001</v>
      </c>
      <c r="E68" s="96">
        <f>E46+E47+E48+E49+E50+E51+E52+E53+E54+E55</f>
        <v>900.38000000000011</v>
      </c>
      <c r="F68" s="95">
        <f t="shared" si="4"/>
        <v>0.14714163768171362</v>
      </c>
      <c r="G68" s="96">
        <f>G46+G47+G48+G49+G50+G51+G52+G53+G54+G55</f>
        <v>784.89</v>
      </c>
      <c r="H68" s="95">
        <f t="shared" si="4"/>
        <v>-5.1309014431793476E-2</v>
      </c>
      <c r="I68" s="96">
        <f>I46+I47+I48+I49+I50+I51+I52+I53+I54+I55</f>
        <v>827.34</v>
      </c>
      <c r="J68" s="74"/>
      <c r="K68" s="79"/>
      <c r="L68" s="74"/>
      <c r="M68" s="86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s="3" customFormat="1" ht="10.199999999999999">
      <c r="A69" s="80" t="s">
        <v>129</v>
      </c>
      <c r="B69" s="96">
        <f>B56+B57+B58+B59+B60+B61</f>
        <v>144.96</v>
      </c>
      <c r="C69" s="74">
        <f t="shared" si="1"/>
        <v>-0.12532432269353755</v>
      </c>
      <c r="D69" s="96">
        <f>D56+D57+D58+D59+D60+D61</f>
        <v>165.73</v>
      </c>
      <c r="E69" s="96">
        <f>E56+E57+E58+E59+E60+E61</f>
        <v>727.18</v>
      </c>
      <c r="F69" s="95">
        <f t="shared" si="4"/>
        <v>-8.2422712933754139E-2</v>
      </c>
      <c r="G69" s="96">
        <f>G56+G57+G58+G59+G60+G61</f>
        <v>792.50000000000011</v>
      </c>
      <c r="H69" s="95">
        <f t="shared" si="4"/>
        <v>-9.9789856307150315E-2</v>
      </c>
      <c r="I69" s="96">
        <f>I56+I57+I58+I59+I60+I61</f>
        <v>880.34999999999991</v>
      </c>
      <c r="J69" s="74"/>
      <c r="K69" s="79"/>
      <c r="L69" s="74"/>
      <c r="M69" s="86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s="11" customFormat="1" ht="10.199999999999999">
      <c r="A70" s="80" t="s">
        <v>130</v>
      </c>
      <c r="B70" s="96">
        <f>B62+B63+B64+B65</f>
        <v>13.28</v>
      </c>
      <c r="C70" s="74">
        <f t="shared" si="1"/>
        <v>-0.14926329276105066</v>
      </c>
      <c r="D70" s="96">
        <f>D62+D63+D64+D65</f>
        <v>15.61</v>
      </c>
      <c r="E70" s="96">
        <f>E62+E63+E64+E65</f>
        <v>56.15</v>
      </c>
      <c r="F70" s="95">
        <f t="shared" si="4"/>
        <v>0.27324263038548735</v>
      </c>
      <c r="G70" s="96">
        <f>G62+G63+G64+G65</f>
        <v>44.1</v>
      </c>
      <c r="H70" s="95">
        <f t="shared" si="4"/>
        <v>0.85606060606060619</v>
      </c>
      <c r="I70" s="96">
        <f>I62+I63+I64+I65</f>
        <v>23.759999999999998</v>
      </c>
      <c r="J70" s="74"/>
      <c r="K70" s="79"/>
      <c r="L70" s="74"/>
      <c r="M70" s="86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65" customFormat="1" ht="10.199999999999999" customHeight="1">
      <c r="A71" s="70" t="s">
        <v>134</v>
      </c>
      <c r="B71" s="99">
        <f>SUM(B66:B70)</f>
        <v>991.93000000000006</v>
      </c>
      <c r="C71" s="63">
        <f t="shared" si="1"/>
        <v>-0.10751914200624402</v>
      </c>
      <c r="D71" s="99">
        <f>SUM(D66:D70)</f>
        <v>1111.4299999999998</v>
      </c>
      <c r="E71" s="99">
        <f>SUM(E66:E70)</f>
        <v>6368.4</v>
      </c>
      <c r="F71" s="241">
        <f t="shared" ref="F71:H71" si="5">IF((+E71/G71)&lt;0,"n.m.",IF(E71&lt;0,(+E71/G71-1)*-1,(+E71/G71-1)))</f>
        <v>1.2070020421298455E-2</v>
      </c>
      <c r="G71" s="99">
        <f>SUM(G66:G70)</f>
        <v>6292.4500000000007</v>
      </c>
      <c r="H71" s="241">
        <f t="shared" si="5"/>
        <v>4.5064780414242556E-2</v>
      </c>
      <c r="I71" s="99">
        <f>SUM(I66:I70)</f>
        <v>6021.1100000000006</v>
      </c>
      <c r="J71" s="63">
        <f>(I71-K71)/K71</f>
        <v>-3.4640710450412386E-2</v>
      </c>
      <c r="K71" s="99">
        <v>6237.1699999999992</v>
      </c>
      <c r="L71" s="63">
        <f>(K71-M71)/M71</f>
        <v>-2.5064399954982476E-2</v>
      </c>
      <c r="M71" s="99">
        <v>6397.5199999999986</v>
      </c>
    </row>
    <row r="72" spans="1:23" ht="10.199999999999999" customHeight="1">
      <c r="A72" s="72"/>
      <c r="B72" s="80"/>
      <c r="C72" s="74"/>
      <c r="D72" s="80"/>
      <c r="E72" s="80"/>
      <c r="F72" s="68"/>
      <c r="G72" s="80"/>
      <c r="H72" s="68"/>
      <c r="I72" s="80"/>
      <c r="J72" s="68"/>
      <c r="K72" s="80"/>
      <c r="L72" s="64"/>
      <c r="M72" s="80"/>
    </row>
    <row r="73" spans="1:23" ht="10.199999999999999" customHeight="1">
      <c r="A73" s="100" t="s">
        <v>5</v>
      </c>
      <c r="B73" s="101"/>
      <c r="C73" s="74"/>
      <c r="D73" s="101"/>
      <c r="E73" s="101"/>
      <c r="F73" s="68"/>
      <c r="G73" s="101"/>
      <c r="H73" s="68"/>
      <c r="I73" s="101"/>
      <c r="J73" s="68"/>
      <c r="K73" s="101"/>
      <c r="L73" s="68"/>
      <c r="M73" s="101"/>
    </row>
    <row r="74" spans="1:23" s="3" customFormat="1" ht="10.199999999999999">
      <c r="A74" s="72" t="s">
        <v>106</v>
      </c>
      <c r="B74" s="94">
        <v>4108.5</v>
      </c>
      <c r="C74" s="74">
        <f t="shared" si="1"/>
        <v>3.6453077699293734E-2</v>
      </c>
      <c r="D74" s="94">
        <v>3964</v>
      </c>
      <c r="E74" s="94">
        <v>3627.01</v>
      </c>
      <c r="F74" s="95">
        <f>IF((+E74/G74)&lt;0,"n.m.",IF(E74&lt;0,(+E74/G74-1)*-1,(+E74/G74-1)))</f>
        <v>-2.9767621024586077E-2</v>
      </c>
      <c r="G74" s="94">
        <v>3738.29</v>
      </c>
      <c r="H74" s="95">
        <f t="shared" ref="F74:H100" si="6">IF((+G74/I74)&lt;0,"n.m.",IF(G74&lt;0,(+G74/I74-1)*-1,(+G74/I74-1)))</f>
        <v>-2.9746424770951796E-2</v>
      </c>
      <c r="I74" s="94">
        <v>3852.9</v>
      </c>
      <c r="J74" s="74"/>
      <c r="K74" s="75"/>
      <c r="L74" s="74"/>
      <c r="M74" s="76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s="3" customFormat="1" ht="10.199999999999999">
      <c r="A75" s="72" t="s">
        <v>107</v>
      </c>
      <c r="B75" s="94">
        <v>18.91</v>
      </c>
      <c r="C75" s="74">
        <f t="shared" si="1"/>
        <v>1.2755716004813475</v>
      </c>
      <c r="D75" s="94">
        <v>8.31</v>
      </c>
      <c r="E75" s="94">
        <v>21.23</v>
      </c>
      <c r="F75" s="95">
        <f t="shared" si="6"/>
        <v>4.2162162162162158</v>
      </c>
      <c r="G75" s="94">
        <v>4.07</v>
      </c>
      <c r="H75" s="95">
        <f t="shared" si="6"/>
        <v>-0.35804416403785488</v>
      </c>
      <c r="I75" s="94">
        <v>6.34</v>
      </c>
      <c r="J75" s="74"/>
      <c r="K75" s="75"/>
      <c r="L75" s="74"/>
      <c r="M75" s="76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s="3" customFormat="1" ht="10.199999999999999">
      <c r="A76" s="72" t="s">
        <v>108</v>
      </c>
      <c r="B76" s="94">
        <v>1084.33</v>
      </c>
      <c r="C76" s="74">
        <f t="shared" si="1"/>
        <v>0.25554925141553664</v>
      </c>
      <c r="D76" s="94">
        <v>863.63</v>
      </c>
      <c r="E76" s="94">
        <v>801.18</v>
      </c>
      <c r="F76" s="95">
        <f t="shared" si="6"/>
        <v>2.3545193229000283E-2</v>
      </c>
      <c r="G76" s="94">
        <v>782.75</v>
      </c>
      <c r="H76" s="95">
        <f t="shared" si="6"/>
        <v>0.47513333207696506</v>
      </c>
      <c r="I76" s="94">
        <v>530.63</v>
      </c>
      <c r="J76" s="74"/>
      <c r="K76" s="75"/>
      <c r="L76" s="74"/>
      <c r="M76" s="76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s="3" customFormat="1" ht="10.199999999999999">
      <c r="A77" s="72" t="s">
        <v>109</v>
      </c>
      <c r="B77" s="94">
        <v>0.1</v>
      </c>
      <c r="C77" s="74">
        <f t="shared" si="1"/>
        <v>-0.28571428571428559</v>
      </c>
      <c r="D77" s="94">
        <v>0.13999999999999999</v>
      </c>
      <c r="E77" s="94">
        <v>0.1</v>
      </c>
      <c r="F77" s="95"/>
      <c r="G77" s="94">
        <v>0</v>
      </c>
      <c r="H77" s="95"/>
      <c r="I77" s="94">
        <v>0</v>
      </c>
      <c r="J77" s="74"/>
      <c r="K77" s="75"/>
      <c r="L77" s="74"/>
      <c r="M77" s="76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11" customFormat="1" ht="10.199999999999999">
      <c r="A78" s="72" t="s">
        <v>110</v>
      </c>
      <c r="B78" s="94">
        <v>0</v>
      </c>
      <c r="C78" s="74">
        <f t="shared" ref="C78:C101" si="7">IF((+B78/D78)&lt;0,"n.m.",IF(B78&lt;0,(+B78/D78-1)*-1,(+B78/D78-1)))</f>
        <v>-1</v>
      </c>
      <c r="D78" s="94">
        <v>0.79</v>
      </c>
      <c r="E78" s="94">
        <v>0</v>
      </c>
      <c r="F78" s="95">
        <f t="shared" si="6"/>
        <v>-1</v>
      </c>
      <c r="G78" s="94">
        <v>0.79</v>
      </c>
      <c r="H78" s="95"/>
      <c r="I78" s="94">
        <v>0</v>
      </c>
      <c r="J78" s="74"/>
      <c r="K78" s="75"/>
      <c r="L78" s="74"/>
      <c r="M78" s="76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1" customFormat="1" ht="10.199999999999999">
      <c r="A79" s="72" t="s">
        <v>111</v>
      </c>
      <c r="B79" s="94">
        <v>4.9000000000000004</v>
      </c>
      <c r="C79" s="74">
        <f t="shared" si="7"/>
        <v>-0.75450901803607218</v>
      </c>
      <c r="D79" s="94">
        <v>19.96</v>
      </c>
      <c r="E79" s="94">
        <v>6.82</v>
      </c>
      <c r="F79" s="95">
        <f t="shared" si="6"/>
        <v>-0.81750066898581752</v>
      </c>
      <c r="G79" s="94">
        <v>37.369999999999997</v>
      </c>
      <c r="H79" s="95">
        <f t="shared" si="6"/>
        <v>-0.64184397163120566</v>
      </c>
      <c r="I79" s="94">
        <v>104.34</v>
      </c>
      <c r="J79" s="74"/>
      <c r="K79" s="75"/>
      <c r="L79" s="74"/>
      <c r="M79" s="76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1" customFormat="1" ht="10.199999999999999">
      <c r="A80" s="72" t="s">
        <v>112</v>
      </c>
      <c r="B80" s="94">
        <v>0</v>
      </c>
      <c r="C80" s="74"/>
      <c r="D80" s="94">
        <v>0</v>
      </c>
      <c r="E80" s="94">
        <v>0</v>
      </c>
      <c r="F80" s="95"/>
      <c r="G80" s="94">
        <v>0</v>
      </c>
      <c r="H80" s="95"/>
      <c r="I80" s="94">
        <v>0</v>
      </c>
      <c r="J80" s="74"/>
      <c r="K80" s="75"/>
      <c r="L80" s="74"/>
      <c r="M80" s="76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1" customFormat="1" ht="10.199999999999999">
      <c r="A81" s="72" t="s">
        <v>113</v>
      </c>
      <c r="B81" s="94">
        <v>2.56</v>
      </c>
      <c r="C81" s="74">
        <f t="shared" si="7"/>
        <v>0.23671497584541057</v>
      </c>
      <c r="D81" s="94">
        <v>2.0700000000000003</v>
      </c>
      <c r="E81" s="94">
        <v>3.07</v>
      </c>
      <c r="F81" s="95">
        <f t="shared" si="6"/>
        <v>0.83832335329341312</v>
      </c>
      <c r="G81" s="94">
        <v>1.67</v>
      </c>
      <c r="H81" s="95">
        <f t="shared" si="6"/>
        <v>8.8235294117647047</v>
      </c>
      <c r="I81" s="94">
        <v>0.17</v>
      </c>
      <c r="J81" s="74"/>
      <c r="K81" s="75"/>
      <c r="L81" s="74"/>
      <c r="M81" s="76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1" customFormat="1" ht="10.199999999999999">
      <c r="A82" s="72" t="s">
        <v>114</v>
      </c>
      <c r="B82" s="94">
        <v>0</v>
      </c>
      <c r="C82" s="74"/>
      <c r="D82" s="94">
        <v>0</v>
      </c>
      <c r="E82" s="94">
        <v>0</v>
      </c>
      <c r="F82" s="95"/>
      <c r="G82" s="94">
        <v>0</v>
      </c>
      <c r="H82" s="95"/>
      <c r="I82" s="94">
        <v>0</v>
      </c>
      <c r="J82" s="74"/>
      <c r="K82" s="75"/>
      <c r="L82" s="74"/>
      <c r="M82" s="76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1" customFormat="1" ht="10.199999999999999">
      <c r="A83" s="72" t="s">
        <v>115</v>
      </c>
      <c r="B83" s="94">
        <v>0</v>
      </c>
      <c r="C83" s="74"/>
      <c r="D83" s="94">
        <v>0</v>
      </c>
      <c r="E83" s="94">
        <v>0</v>
      </c>
      <c r="F83" s="95"/>
      <c r="G83" s="94">
        <v>0</v>
      </c>
      <c r="H83" s="95"/>
      <c r="I83" s="94">
        <v>0</v>
      </c>
      <c r="J83" s="74"/>
      <c r="K83" s="75"/>
      <c r="L83" s="74"/>
      <c r="M83" s="76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1" customFormat="1" ht="10.199999999999999">
      <c r="A84" s="72" t="s">
        <v>116</v>
      </c>
      <c r="B84" s="94">
        <v>0</v>
      </c>
      <c r="C84" s="74"/>
      <c r="D84" s="94">
        <v>0</v>
      </c>
      <c r="E84" s="94">
        <v>0</v>
      </c>
      <c r="F84" s="95"/>
      <c r="G84" s="94">
        <v>0</v>
      </c>
      <c r="H84" s="95"/>
      <c r="I84" s="94">
        <v>0</v>
      </c>
      <c r="J84" s="74"/>
      <c r="K84" s="75"/>
      <c r="L84" s="74"/>
      <c r="M84" s="76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1" customFormat="1" ht="10.199999999999999">
      <c r="A85" s="72" t="s">
        <v>117</v>
      </c>
      <c r="B85" s="94">
        <v>0</v>
      </c>
      <c r="C85" s="74"/>
      <c r="D85" s="94">
        <v>0</v>
      </c>
      <c r="E85" s="94">
        <v>0</v>
      </c>
      <c r="F85" s="95"/>
      <c r="G85" s="94">
        <v>0</v>
      </c>
      <c r="H85" s="95"/>
      <c r="I85" s="94">
        <v>0</v>
      </c>
      <c r="J85" s="74"/>
      <c r="K85" s="75"/>
      <c r="L85" s="74"/>
      <c r="M85" s="76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1" customFormat="1" ht="10.199999999999999">
      <c r="A86" s="72" t="s">
        <v>118</v>
      </c>
      <c r="B86" s="94">
        <v>19.62</v>
      </c>
      <c r="C86" s="74">
        <f t="shared" si="7"/>
        <v>0.64046822742474907</v>
      </c>
      <c r="D86" s="94">
        <v>11.96</v>
      </c>
      <c r="E86" s="94">
        <v>14.78</v>
      </c>
      <c r="F86" s="95">
        <f t="shared" si="6"/>
        <v>0.54764397905759155</v>
      </c>
      <c r="G86" s="94">
        <v>9.5500000000000007</v>
      </c>
      <c r="H86" s="95">
        <f t="shared" si="6"/>
        <v>-8.7870105062082149E-2</v>
      </c>
      <c r="I86" s="94">
        <v>10.47</v>
      </c>
      <c r="J86" s="74"/>
      <c r="K86" s="75"/>
      <c r="L86" s="74"/>
      <c r="M86" s="76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1" customFormat="1" ht="10.199999999999999">
      <c r="A87" s="72" t="s">
        <v>119</v>
      </c>
      <c r="B87" s="96">
        <v>357.32</v>
      </c>
      <c r="C87" s="74">
        <f t="shared" si="7"/>
        <v>0.13366540816650274</v>
      </c>
      <c r="D87" s="96">
        <v>315.19</v>
      </c>
      <c r="E87" s="96">
        <v>315.81</v>
      </c>
      <c r="F87" s="95">
        <f t="shared" si="6"/>
        <v>-4.0412020297165063E-2</v>
      </c>
      <c r="G87" s="96">
        <v>329.11</v>
      </c>
      <c r="H87" s="95">
        <f t="shared" si="6"/>
        <v>0.14409372175484947</v>
      </c>
      <c r="I87" s="96">
        <v>287.66000000000003</v>
      </c>
      <c r="J87" s="74"/>
      <c r="K87" s="79"/>
      <c r="L87" s="74"/>
      <c r="M87" s="80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1" customFormat="1" ht="10.199999999999999">
      <c r="A88" s="72" t="s">
        <v>120</v>
      </c>
      <c r="B88" s="94">
        <v>293.04000000000002</v>
      </c>
      <c r="C88" s="74">
        <f t="shared" si="7"/>
        <v>3.0597172399240424E-2</v>
      </c>
      <c r="D88" s="94">
        <v>284.33999999999997</v>
      </c>
      <c r="E88" s="94">
        <v>255.68</v>
      </c>
      <c r="F88" s="95">
        <f t="shared" si="6"/>
        <v>-0.16689475399152809</v>
      </c>
      <c r="G88" s="94">
        <v>306.89999999999998</v>
      </c>
      <c r="H88" s="95">
        <f t="shared" si="6"/>
        <v>0.14195348837209298</v>
      </c>
      <c r="I88" s="94">
        <v>268.75</v>
      </c>
      <c r="J88" s="74"/>
      <c r="K88" s="75"/>
      <c r="L88" s="74"/>
      <c r="M88" s="76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3" customFormat="1" ht="10.199999999999999">
      <c r="A89" s="72" t="s">
        <v>121</v>
      </c>
      <c r="B89" s="94">
        <v>0</v>
      </c>
      <c r="C89" s="74"/>
      <c r="D89" s="94">
        <v>0</v>
      </c>
      <c r="E89" s="94">
        <v>0</v>
      </c>
      <c r="F89" s="95"/>
      <c r="G89" s="94">
        <v>0</v>
      </c>
      <c r="H89" s="95">
        <f t="shared" si="6"/>
        <v>-1</v>
      </c>
      <c r="I89" s="94">
        <v>3.11</v>
      </c>
      <c r="J89" s="74"/>
      <c r="K89" s="75"/>
      <c r="L89" s="74"/>
      <c r="M89" s="76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s="11" customFormat="1" ht="10.199999999999999">
      <c r="A90" s="72" t="s">
        <v>122</v>
      </c>
      <c r="B90" s="94">
        <v>261.07</v>
      </c>
      <c r="C90" s="74">
        <f t="shared" si="7"/>
        <v>-0.35839272548537726</v>
      </c>
      <c r="D90" s="94">
        <v>406.9</v>
      </c>
      <c r="E90" s="94">
        <v>303.27</v>
      </c>
      <c r="F90" s="95">
        <f t="shared" si="6"/>
        <v>-0.30004385256306687</v>
      </c>
      <c r="G90" s="94">
        <v>433.27</v>
      </c>
      <c r="H90" s="95">
        <f t="shared" si="6"/>
        <v>0.53898341206976164</v>
      </c>
      <c r="I90" s="94">
        <v>281.52999999999997</v>
      </c>
      <c r="J90" s="74"/>
      <c r="K90" s="75"/>
      <c r="L90" s="74"/>
      <c r="M90" s="76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1" customFormat="1" ht="10.199999999999999">
      <c r="A91" s="72" t="s">
        <v>123</v>
      </c>
      <c r="B91" s="94">
        <v>24.68</v>
      </c>
      <c r="C91" s="74">
        <f t="shared" si="7"/>
        <v>-0.30243075183719625</v>
      </c>
      <c r="D91" s="94">
        <v>35.380000000000003</v>
      </c>
      <c r="E91" s="94">
        <v>10.31</v>
      </c>
      <c r="F91" s="95">
        <f t="shared" si="6"/>
        <v>-0.25343953656770457</v>
      </c>
      <c r="G91" s="94">
        <v>13.81</v>
      </c>
      <c r="H91" s="95">
        <f t="shared" si="6"/>
        <v>-0.62746155921230107</v>
      </c>
      <c r="I91" s="94">
        <v>37.07</v>
      </c>
      <c r="J91" s="74"/>
      <c r="K91" s="75"/>
      <c r="L91" s="74"/>
      <c r="M91" s="76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11" customFormat="1" ht="10.199999999999999">
      <c r="A92" s="72" t="s">
        <v>124</v>
      </c>
      <c r="B92" s="94">
        <v>8.99</v>
      </c>
      <c r="C92" s="74">
        <f t="shared" si="7"/>
        <v>2.165492957746479</v>
      </c>
      <c r="D92" s="94">
        <v>2.84</v>
      </c>
      <c r="E92" s="94">
        <v>5.98</v>
      </c>
      <c r="F92" s="95">
        <f t="shared" si="6"/>
        <v>1.7305936073059365</v>
      </c>
      <c r="G92" s="94">
        <v>2.19</v>
      </c>
      <c r="H92" s="95">
        <f t="shared" si="6"/>
        <v>-0.81795511221945139</v>
      </c>
      <c r="I92" s="94">
        <v>12.03</v>
      </c>
      <c r="J92" s="74"/>
      <c r="K92" s="75"/>
      <c r="L92" s="74"/>
      <c r="M92" s="76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11" customFormat="1" ht="10.199999999999999">
      <c r="A93" s="72" t="s">
        <v>125</v>
      </c>
      <c r="B93" s="94">
        <v>7.12</v>
      </c>
      <c r="C93" s="74">
        <f t="shared" si="7"/>
        <v>-0.41972290138549306</v>
      </c>
      <c r="D93" s="94">
        <v>12.27</v>
      </c>
      <c r="E93" s="94">
        <v>2.5099999999999998</v>
      </c>
      <c r="F93" s="95">
        <f t="shared" si="6"/>
        <v>-0.88898717381689518</v>
      </c>
      <c r="G93" s="94">
        <v>22.61</v>
      </c>
      <c r="H93" s="95">
        <f t="shared" si="6"/>
        <v>-0.59588918677390534</v>
      </c>
      <c r="I93" s="94">
        <v>55.95</v>
      </c>
      <c r="J93" s="81"/>
      <c r="K93" s="75"/>
      <c r="L93" s="81"/>
      <c r="M93" s="76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1" customFormat="1" ht="10.199999999999999">
      <c r="A94" s="72" t="s">
        <v>126</v>
      </c>
      <c r="B94" s="97">
        <v>17.600000000000001</v>
      </c>
      <c r="C94" s="74"/>
      <c r="D94" s="97">
        <v>0</v>
      </c>
      <c r="E94" s="97">
        <v>29.7</v>
      </c>
      <c r="F94" s="95"/>
      <c r="G94" s="97">
        <v>0</v>
      </c>
      <c r="H94" s="95"/>
      <c r="I94" s="97">
        <v>0</v>
      </c>
      <c r="J94" s="74"/>
      <c r="K94" s="83"/>
      <c r="L94" s="74"/>
      <c r="M94" s="82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1" customFormat="1" ht="10.199999999999999">
      <c r="A95" s="72" t="s">
        <v>127</v>
      </c>
      <c r="B95" s="97">
        <v>0</v>
      </c>
      <c r="C95" s="74"/>
      <c r="D95" s="97">
        <v>0</v>
      </c>
      <c r="E95" s="94">
        <v>0</v>
      </c>
      <c r="F95" s="95"/>
      <c r="G95" s="97">
        <v>0</v>
      </c>
      <c r="H95" s="95">
        <f t="shared" si="6"/>
        <v>-1</v>
      </c>
      <c r="I95" s="97">
        <v>0.31</v>
      </c>
      <c r="J95" s="74"/>
      <c r="K95" s="83"/>
      <c r="L95" s="74"/>
      <c r="M95" s="82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1" customFormat="1" ht="10.199999999999999">
      <c r="A96" s="80" t="s">
        <v>106</v>
      </c>
      <c r="B96" s="98">
        <f>B74</f>
        <v>4108.5</v>
      </c>
      <c r="C96" s="74">
        <f t="shared" si="7"/>
        <v>3.6453077699293734E-2</v>
      </c>
      <c r="D96" s="98">
        <f>D74</f>
        <v>3964</v>
      </c>
      <c r="E96" s="98">
        <f>E74</f>
        <v>3627.01</v>
      </c>
      <c r="F96" s="95">
        <f t="shared" si="6"/>
        <v>-2.9767621024586077E-2</v>
      </c>
      <c r="G96" s="98">
        <f>G74</f>
        <v>3738.29</v>
      </c>
      <c r="H96" s="95">
        <f t="shared" si="6"/>
        <v>-2.9746424770951796E-2</v>
      </c>
      <c r="I96" s="98">
        <f>I74</f>
        <v>3852.9</v>
      </c>
      <c r="J96" s="74"/>
      <c r="K96" s="85"/>
      <c r="L96" s="74"/>
      <c r="M96" s="82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1" customFormat="1" ht="10.199999999999999">
      <c r="A97" s="80" t="s">
        <v>107</v>
      </c>
      <c r="B97" s="98">
        <f>B75</f>
        <v>18.91</v>
      </c>
      <c r="C97" s="74">
        <f t="shared" si="7"/>
        <v>1.2755716004813475</v>
      </c>
      <c r="D97" s="98">
        <f>D75</f>
        <v>8.31</v>
      </c>
      <c r="E97" s="98">
        <f>E75</f>
        <v>21.23</v>
      </c>
      <c r="F97" s="95">
        <f t="shared" si="6"/>
        <v>4.2162162162162158</v>
      </c>
      <c r="G97" s="98">
        <f>G75</f>
        <v>4.07</v>
      </c>
      <c r="H97" s="95">
        <f t="shared" si="6"/>
        <v>-0.35804416403785488</v>
      </c>
      <c r="I97" s="98">
        <f>I75</f>
        <v>6.34</v>
      </c>
      <c r="J97" s="74"/>
      <c r="K97" s="85"/>
      <c r="L97" s="74"/>
      <c r="M97" s="82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3" customFormat="1" ht="10.199999999999999">
      <c r="A98" s="80" t="s">
        <v>128</v>
      </c>
      <c r="B98" s="96">
        <f>B76+B77+B78+B79+B80+B81+B82+B83+B84+B85</f>
        <v>1091.8899999999999</v>
      </c>
      <c r="C98" s="74">
        <f t="shared" si="7"/>
        <v>0.2315613756076651</v>
      </c>
      <c r="D98" s="96">
        <f>D76+D77+D78+D79+D80+D81+D82+D83+D84+D85</f>
        <v>886.59</v>
      </c>
      <c r="E98" s="96">
        <f>E76+E77+E78+E79+E80+E81+E82+E83+E84+E85</f>
        <v>811.17000000000007</v>
      </c>
      <c r="F98" s="95">
        <f t="shared" si="6"/>
        <v>-1.3870991271365485E-2</v>
      </c>
      <c r="G98" s="96">
        <f>G76+G77+G78+G79+G80+G81+G82+G83+G84+G85</f>
        <v>822.57999999999993</v>
      </c>
      <c r="H98" s="95">
        <f t="shared" si="6"/>
        <v>0.2951160374090751</v>
      </c>
      <c r="I98" s="96">
        <f>I76+I77+I78+I79+I80+I81+I82+I83+I84+I85</f>
        <v>635.14</v>
      </c>
      <c r="J98" s="74"/>
      <c r="K98" s="79"/>
      <c r="L98" s="74"/>
      <c r="M98" s="86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s="3" customFormat="1" ht="10.199999999999999">
      <c r="A99" s="80" t="s">
        <v>129</v>
      </c>
      <c r="B99" s="96">
        <f>B86+B87+B88+B89+B90+B91</f>
        <v>955.7299999999999</v>
      </c>
      <c r="C99" s="74">
        <f t="shared" si="7"/>
        <v>-9.3037380073450637E-2</v>
      </c>
      <c r="D99" s="96">
        <f>D86+D87+D88+D89+D90+D91</f>
        <v>1053.77</v>
      </c>
      <c r="E99" s="96">
        <f>E86+E87+E88+E89+E90+E91</f>
        <v>899.84999999999991</v>
      </c>
      <c r="F99" s="95">
        <f t="shared" si="6"/>
        <v>-0.17644420852247766</v>
      </c>
      <c r="G99" s="260">
        <f>G86+G87+G88+G89+G90+G91</f>
        <v>1092.6399999999999</v>
      </c>
      <c r="H99" s="95">
        <f t="shared" si="6"/>
        <v>0.22963346425235454</v>
      </c>
      <c r="I99" s="260">
        <f>I86+I87+I88+I89+I90+I91</f>
        <v>888.59000000000015</v>
      </c>
      <c r="J99" s="74"/>
      <c r="K99" s="79"/>
      <c r="L99" s="74"/>
      <c r="M99" s="86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s="11" customFormat="1" ht="10.199999999999999">
      <c r="A100" s="80" t="s">
        <v>130</v>
      </c>
      <c r="B100" s="96">
        <f>B92+B93+B94+B95</f>
        <v>33.71</v>
      </c>
      <c r="C100" s="74">
        <f t="shared" si="7"/>
        <v>1.2309728656518861</v>
      </c>
      <c r="D100" s="96">
        <f>D92+D93+D94+D95</f>
        <v>15.11</v>
      </c>
      <c r="E100" s="96">
        <f>E92+E93+E94+E95</f>
        <v>38.19</v>
      </c>
      <c r="F100" s="262">
        <f t="shared" si="6"/>
        <v>0.53991935483870956</v>
      </c>
      <c r="G100" s="261">
        <f>G92+G93+G94+G95</f>
        <v>24.8</v>
      </c>
      <c r="H100" s="262">
        <f t="shared" si="6"/>
        <v>-0.63684287597012745</v>
      </c>
      <c r="I100" s="261">
        <f>I92+I93+I94+I95</f>
        <v>68.290000000000006</v>
      </c>
      <c r="J100" s="74"/>
      <c r="K100" s="79"/>
      <c r="L100" s="74"/>
      <c r="M100" s="86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65" customFormat="1" ht="10.199999999999999" customHeight="1">
      <c r="A101" s="61" t="s">
        <v>135</v>
      </c>
      <c r="B101" s="62">
        <f>SUM(B96:B100)</f>
        <v>6208.7399999999989</v>
      </c>
      <c r="C101" s="63">
        <f t="shared" si="7"/>
        <v>4.7397170610245176E-2</v>
      </c>
      <c r="D101" s="62">
        <f>SUM(D96:D100)</f>
        <v>5927.78</v>
      </c>
      <c r="E101" s="62">
        <f>SUM(E96:E100)</f>
        <v>5397.45</v>
      </c>
      <c r="F101" s="263">
        <f t="shared" ref="F101:H101" si="8">IF((+E101/G101)&lt;0,"n.m.",IF(E101&lt;0,(+E101/G101-1)*-1,(+E101/G101-1)))</f>
        <v>-5.014272188765978E-2</v>
      </c>
      <c r="G101" s="62">
        <f>SUM(G96:G100)</f>
        <v>5682.38</v>
      </c>
      <c r="H101" s="263">
        <f t="shared" si="8"/>
        <v>4.2397537450057365E-2</v>
      </c>
      <c r="I101" s="62">
        <f>SUM(I96:I100)</f>
        <v>5451.26</v>
      </c>
      <c r="J101" s="63">
        <f>(I101-K101)/K101</f>
        <v>0.1294390161026992</v>
      </c>
      <c r="K101" s="62">
        <v>4826.5200000000004</v>
      </c>
      <c r="L101" s="63">
        <f>(K101-M101)/M101</f>
        <v>-1.7406280919051813E-2</v>
      </c>
      <c r="M101" s="62">
        <v>4912.0200000000013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0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C40" sqref="C40"/>
    </sheetView>
  </sheetViews>
  <sheetFormatPr baseColWidth="10" defaultColWidth="20.6640625" defaultRowHeight="12" customHeight="1" outlineLevelRow="1" outlineLevelCol="1"/>
  <cols>
    <col min="1" max="1" width="20.6640625" style="152" customWidth="1"/>
    <col min="2" max="7" width="10.88671875" style="60" customWidth="1"/>
    <col min="8" max="10" width="10.88671875" style="60" hidden="1" customWidth="1" outlineLevel="1"/>
    <col min="11" max="13" width="10.88671875" style="104" hidden="1" customWidth="1" outlineLevel="1"/>
    <col min="14" max="14" width="20.6640625" style="152" collapsed="1"/>
    <col min="15" max="16384" width="20.6640625" style="152"/>
  </cols>
  <sheetData>
    <row r="1" spans="1:24" s="102" customFormat="1" ht="24.75" customHeight="1">
      <c r="A1" s="151" t="s">
        <v>143</v>
      </c>
      <c r="B1" s="1" t="s">
        <v>151</v>
      </c>
      <c r="C1" s="1" t="s">
        <v>152</v>
      </c>
      <c r="D1" s="1" t="s">
        <v>150</v>
      </c>
      <c r="E1" s="1">
        <v>2015</v>
      </c>
      <c r="F1" s="1" t="s">
        <v>153</v>
      </c>
      <c r="G1" s="1">
        <v>2014</v>
      </c>
      <c r="H1" s="1" t="s">
        <v>1</v>
      </c>
      <c r="I1" s="1">
        <v>2013</v>
      </c>
      <c r="J1" s="1" t="s">
        <v>2</v>
      </c>
      <c r="K1" s="1">
        <v>2012</v>
      </c>
      <c r="L1" s="1" t="s">
        <v>3</v>
      </c>
      <c r="M1" s="1">
        <v>2011</v>
      </c>
    </row>
    <row r="2" spans="1:24" ht="3" hidden="1" customHeight="1" outlineLevel="1"/>
    <row r="3" spans="1:24" s="157" customFormat="1" ht="10.199999999999999" customHeight="1" collapsed="1">
      <c r="A3" s="153" t="s">
        <v>4</v>
      </c>
      <c r="B3" s="154">
        <f>B71</f>
        <v>610.70000000000005</v>
      </c>
      <c r="C3" s="243">
        <f t="shared" ref="C3:C7" si="0">IF((+B3/D3)&lt;0,"n.m.",IF(B3&lt;0,(+B3/D3-1)*-1,(+B3/D3-1)))</f>
        <v>-4.2519833181775213E-2</v>
      </c>
      <c r="D3" s="154">
        <f>D71</f>
        <v>637.81999999999994</v>
      </c>
      <c r="E3" s="154">
        <f>E71</f>
        <v>4535.13</v>
      </c>
      <c r="F3" s="243">
        <f t="shared" ref="F3:H7" si="1">IF((+E3/G3)&lt;0,"n.m.",IF(E3&lt;0,(+E3/G3-1)*-1,(+E3/G3-1)))</f>
        <v>8.7352546274096277E-2</v>
      </c>
      <c r="G3" s="154">
        <f>G71</f>
        <v>4170.7999999999993</v>
      </c>
      <c r="H3" s="243">
        <f t="shared" si="1"/>
        <v>-9.1993660414163347E-2</v>
      </c>
      <c r="I3" s="154">
        <f>I71</f>
        <v>4593.3600000000006</v>
      </c>
      <c r="J3" s="156">
        <f>(I3-K3)/K3</f>
        <v>-3.414400282605845E-2</v>
      </c>
      <c r="K3" s="154">
        <v>4755.74</v>
      </c>
      <c r="L3" s="156">
        <v>-2.5776543202289393E-2</v>
      </c>
      <c r="M3" s="154">
        <v>4881.57</v>
      </c>
      <c r="N3" s="277"/>
    </row>
    <row r="4" spans="1:24" s="157" customFormat="1" ht="10.199999999999999" customHeight="1">
      <c r="A4" s="153" t="s">
        <v>5</v>
      </c>
      <c r="B4" s="154">
        <f>B101</f>
        <v>3672.98</v>
      </c>
      <c r="C4" s="243">
        <f t="shared" si="0"/>
        <v>-0.15212834718374868</v>
      </c>
      <c r="D4" s="154">
        <f>D101</f>
        <v>4331.9999999999991</v>
      </c>
      <c r="E4" s="154">
        <f>E101</f>
        <v>3477.4500000000007</v>
      </c>
      <c r="F4" s="243">
        <f t="shared" si="1"/>
        <v>-0.16050464595841418</v>
      </c>
      <c r="G4" s="154">
        <f>G101</f>
        <v>4142.3099999999995</v>
      </c>
      <c r="H4" s="243">
        <f t="shared" si="1"/>
        <v>8.8511830307871575E-2</v>
      </c>
      <c r="I4" s="154">
        <f>I101</f>
        <v>3805.48</v>
      </c>
      <c r="J4" s="156">
        <f>(I4-K4)/K4</f>
        <v>-0.12034802548241839</v>
      </c>
      <c r="K4" s="154">
        <v>4326.12</v>
      </c>
      <c r="L4" s="156">
        <v>-6.8972864088012842E-2</v>
      </c>
      <c r="M4" s="154">
        <v>4646.6100000000015</v>
      </c>
    </row>
    <row r="5" spans="1:24" s="157" customFormat="1" ht="10.199999999999999" customHeight="1">
      <c r="A5" s="153" t="s">
        <v>6</v>
      </c>
      <c r="B5" s="154">
        <v>574.72</v>
      </c>
      <c r="C5" s="243">
        <f t="shared" si="0"/>
        <v>-2.9282653528292069E-2</v>
      </c>
      <c r="D5" s="154">
        <v>592.05700000000002</v>
      </c>
      <c r="E5" s="154">
        <v>4412.3500000000004</v>
      </c>
      <c r="F5" s="243">
        <f t="shared" si="1"/>
        <v>0.10392565555397937</v>
      </c>
      <c r="G5" s="154">
        <v>3996.9630000000002</v>
      </c>
      <c r="H5" s="243">
        <f t="shared" si="1"/>
        <v>-9.6170844964842628E-2</v>
      </c>
      <c r="I5" s="154">
        <v>4422.2550000000001</v>
      </c>
      <c r="J5" s="156">
        <f>(I5-K5)/K5</f>
        <v>-7.7241608119471783E-2</v>
      </c>
      <c r="K5" s="154">
        <v>4792.43</v>
      </c>
      <c r="L5" s="156">
        <v>-1.7294233683360138E-2</v>
      </c>
      <c r="M5" s="154">
        <v>4876.7700000000004</v>
      </c>
      <c r="N5" s="354"/>
    </row>
    <row r="6" spans="1:24" s="157" customFormat="1" ht="10.199999999999999" customHeight="1">
      <c r="A6" s="153" t="s">
        <v>137</v>
      </c>
      <c r="B6" s="154">
        <v>-43.94</v>
      </c>
      <c r="C6" s="243">
        <f t="shared" si="0"/>
        <v>0.23571975231336539</v>
      </c>
      <c r="D6" s="154">
        <v>-57.491999999999997</v>
      </c>
      <c r="E6" s="154">
        <v>197.048</v>
      </c>
      <c r="F6" s="243">
        <f t="shared" si="1"/>
        <v>0.16855052008587057</v>
      </c>
      <c r="G6" s="154">
        <v>168.626</v>
      </c>
      <c r="H6" s="243">
        <f t="shared" si="1"/>
        <v>0.21985907953180828</v>
      </c>
      <c r="I6" s="154">
        <v>138.23400000000001</v>
      </c>
      <c r="J6" s="156">
        <f>(I6-K6)/K6</f>
        <v>-7.1538435705410103E-2</v>
      </c>
      <c r="K6" s="154">
        <v>148.88499999999999</v>
      </c>
      <c r="L6" s="156">
        <f>(K6/M6)-1</f>
        <v>6.2273022396312605E-2</v>
      </c>
      <c r="M6" s="154">
        <v>140.15700000000001</v>
      </c>
    </row>
    <row r="7" spans="1:24" s="157" customFormat="1" ht="10.199999999999999" customHeight="1">
      <c r="A7" s="153" t="s">
        <v>147</v>
      </c>
      <c r="B7" s="154">
        <v>-43.94</v>
      </c>
      <c r="C7" s="243">
        <f t="shared" si="0"/>
        <v>0.23571975231336539</v>
      </c>
      <c r="D7" s="154">
        <v>-57.491999999999997</v>
      </c>
      <c r="E7" s="154">
        <v>197.048</v>
      </c>
      <c r="F7" s="243">
        <f t="shared" si="1"/>
        <v>0.16855052008587057</v>
      </c>
      <c r="G7" s="154">
        <v>168.626</v>
      </c>
      <c r="H7" s="243">
        <f t="shared" si="1"/>
        <v>0.21985907953180828</v>
      </c>
      <c r="I7" s="154">
        <v>138.23400000000001</v>
      </c>
      <c r="J7" s="156">
        <f>(I7-K7)/K7</f>
        <v>-7.1538435705410103E-2</v>
      </c>
      <c r="K7" s="154">
        <v>148.88499999999999</v>
      </c>
      <c r="L7" s="156">
        <f>(K7/M7)-1</f>
        <v>6.2273022396312605E-2</v>
      </c>
      <c r="M7" s="154">
        <v>140.15700000000001</v>
      </c>
    </row>
    <row r="8" spans="1:24" ht="10.199999999999999" customHeight="1">
      <c r="A8" s="158" t="s">
        <v>138</v>
      </c>
      <c r="B8" s="159">
        <f>B6/B5</f>
        <v>-7.6454621380846313E-2</v>
      </c>
      <c r="C8" s="156"/>
      <c r="D8" s="159">
        <f>D6/D5</f>
        <v>-9.7105515178437199E-2</v>
      </c>
      <c r="E8" s="159">
        <f>E6/E5</f>
        <v>4.465828866703684E-2</v>
      </c>
      <c r="F8" s="156"/>
      <c r="G8" s="159">
        <f>G6/G5</f>
        <v>4.2188531642649678E-2</v>
      </c>
      <c r="H8" s="159"/>
      <c r="I8" s="159">
        <f>I6/I5</f>
        <v>3.1258713032152149E-2</v>
      </c>
      <c r="J8" s="159"/>
      <c r="K8" s="159">
        <f>K6/K5</f>
        <v>3.106670311303451E-2</v>
      </c>
      <c r="L8" s="159"/>
      <c r="M8" s="159">
        <f>M6/M5</f>
        <v>2.8739719117366617E-2</v>
      </c>
    </row>
    <row r="9" spans="1:24" ht="10.199999999999999" customHeight="1">
      <c r="A9" s="158" t="s">
        <v>139</v>
      </c>
      <c r="B9" s="160">
        <f>B3/Group!B2</f>
        <v>0.27058880869145258</v>
      </c>
      <c r="C9" s="160"/>
      <c r="D9" s="160">
        <f>D3/Group!D2</f>
        <v>0.25840038244326141</v>
      </c>
      <c r="E9" s="160">
        <f>E3/Group!E2</f>
        <v>0.31736922103660242</v>
      </c>
      <c r="F9" s="160"/>
      <c r="G9" s="160">
        <f>G3/Group!G2</f>
        <v>0.30744508329647641</v>
      </c>
      <c r="H9" s="160"/>
      <c r="I9" s="160">
        <f>I3/Group!I186</f>
        <v>0.33841717459646198</v>
      </c>
      <c r="J9" s="160"/>
      <c r="K9" s="160">
        <f>K3/Group!K2</f>
        <v>0.33866520444931841</v>
      </c>
      <c r="L9" s="160"/>
      <c r="M9" s="160">
        <f>M3/Group!M2</f>
        <v>0.34075255569477547</v>
      </c>
    </row>
    <row r="10" spans="1:24" ht="10.199999999999999" customHeight="1">
      <c r="A10" s="158" t="s">
        <v>140</v>
      </c>
      <c r="B10" s="160">
        <f>B4/Group!B3</f>
        <v>0.26279458123637905</v>
      </c>
      <c r="C10" s="160"/>
      <c r="D10" s="160">
        <f>D4/Group!D3</f>
        <v>0.28635604659433284</v>
      </c>
      <c r="E10" s="160">
        <f>E4/Group!E3</f>
        <v>0.26475532525592754</v>
      </c>
      <c r="F10" s="160"/>
      <c r="G10" s="160">
        <f>G4/Group!G3</f>
        <v>0.2875917142016074</v>
      </c>
      <c r="H10" s="160"/>
      <c r="I10" s="160">
        <f>I4/Group!I216</f>
        <v>0.28252193073629067</v>
      </c>
      <c r="J10" s="160"/>
      <c r="K10" s="160">
        <f>K4/Group!K3</f>
        <v>0.32767033309954208</v>
      </c>
      <c r="L10" s="160"/>
      <c r="M10" s="160">
        <f>M4/Group!M3</f>
        <v>0.34795641755279327</v>
      </c>
    </row>
    <row r="11" spans="1:24" ht="10.199999999999999" customHeight="1">
      <c r="A11" s="158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</row>
    <row r="12" spans="1:24" s="157" customFormat="1" ht="10.199999999999999" customHeight="1">
      <c r="A12" s="162" t="s">
        <v>105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</row>
    <row r="13" spans="1:24" s="3" customFormat="1" ht="10.199999999999999">
      <c r="A13" s="164" t="s">
        <v>106</v>
      </c>
      <c r="B13" s="165">
        <v>552</v>
      </c>
      <c r="C13" s="184">
        <f>IF((+B13/D13)&lt;0,"n.m.",IF(B13&lt;0,(+B13/D13-1)*-1,(+B13/D13-1)))</f>
        <v>-0.11680000000000001</v>
      </c>
      <c r="D13" s="165">
        <v>625</v>
      </c>
      <c r="E13" s="165">
        <v>581</v>
      </c>
      <c r="F13" s="184">
        <f>IF((+E13/G13)&lt;0,"n.m.",IF(E13&lt;0,(+E13/G13-1)*-1,(+E13/G13-1)))</f>
        <v>-0.11567732115677321</v>
      </c>
      <c r="G13" s="165">
        <v>657</v>
      </c>
      <c r="H13" s="184">
        <f>IF((+G13/I13)&lt;0,"n.m.",IF(G13&lt;0,(+G13/I13-1)*-1,(+G13/I13-1)))</f>
        <v>-0.61913043478260876</v>
      </c>
      <c r="I13" s="165">
        <v>1725</v>
      </c>
      <c r="J13" s="166"/>
      <c r="K13" s="167"/>
      <c r="L13" s="166"/>
      <c r="M13" s="168"/>
      <c r="N13" s="29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3" customFormat="1" ht="10.199999999999999">
      <c r="A14" s="164" t="s">
        <v>107</v>
      </c>
      <c r="B14" s="165">
        <v>5381</v>
      </c>
      <c r="C14" s="184">
        <f t="shared" ref="C14:C40" si="2">IF((+B14/D14)&lt;0,"n.m.",IF(B14&lt;0,(+B14/D14-1)*-1,(+B14/D14-1)))</f>
        <v>-1.4649331624244644E-2</v>
      </c>
      <c r="D14" s="165">
        <v>5461</v>
      </c>
      <c r="E14" s="165">
        <v>6827</v>
      </c>
      <c r="F14" s="184">
        <f t="shared" ref="F14:H39" si="3">IF((+E14/G14)&lt;0,"n.m.",IF(E14&lt;0,(+E14/G14-1)*-1,(+E14/G14-1)))</f>
        <v>-4.4640358242373335E-2</v>
      </c>
      <c r="G14" s="165">
        <v>7146</v>
      </c>
      <c r="H14" s="184">
        <f t="shared" si="3"/>
        <v>-2.6165167620605057E-2</v>
      </c>
      <c r="I14" s="165">
        <v>7338</v>
      </c>
      <c r="J14" s="166"/>
      <c r="K14" s="167"/>
      <c r="L14" s="166"/>
      <c r="M14" s="168"/>
      <c r="N14" s="29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3" customFormat="1" ht="10.199999999999999">
      <c r="A15" s="164" t="s">
        <v>108</v>
      </c>
      <c r="B15" s="165">
        <v>43</v>
      </c>
      <c r="C15" s="184">
        <f t="shared" si="2"/>
        <v>4.8780487804878092E-2</v>
      </c>
      <c r="D15" s="165">
        <v>41</v>
      </c>
      <c r="E15" s="165">
        <v>42</v>
      </c>
      <c r="F15" s="184">
        <f t="shared" si="3"/>
        <v>-0.31147540983606559</v>
      </c>
      <c r="G15" s="165">
        <v>61</v>
      </c>
      <c r="H15" s="184">
        <f t="shared" si="3"/>
        <v>-0.73706896551724133</v>
      </c>
      <c r="I15" s="165">
        <v>232</v>
      </c>
      <c r="J15" s="166"/>
      <c r="K15" s="167"/>
      <c r="L15" s="166"/>
      <c r="M15" s="168"/>
      <c r="N15" s="29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3" customFormat="1" ht="10.199999999999999">
      <c r="A16" s="164" t="s">
        <v>109</v>
      </c>
      <c r="B16" s="165">
        <v>2218</v>
      </c>
      <c r="C16" s="184">
        <f t="shared" si="2"/>
        <v>-1.3345195729537407E-2</v>
      </c>
      <c r="D16" s="165">
        <v>2248</v>
      </c>
      <c r="E16" s="165">
        <v>2603</v>
      </c>
      <c r="F16" s="184">
        <f t="shared" si="3"/>
        <v>1.6399843811011339E-2</v>
      </c>
      <c r="G16" s="165">
        <v>2561</v>
      </c>
      <c r="H16" s="184">
        <f t="shared" si="3"/>
        <v>-6.906579425663395E-2</v>
      </c>
      <c r="I16" s="165">
        <v>2751</v>
      </c>
      <c r="J16" s="166"/>
      <c r="K16" s="167"/>
      <c r="L16" s="166"/>
      <c r="M16" s="168"/>
      <c r="N16" s="29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1" customFormat="1" ht="10.199999999999999">
      <c r="A17" s="164" t="s">
        <v>110</v>
      </c>
      <c r="B17" s="165">
        <v>1581</v>
      </c>
      <c r="C17" s="184">
        <f t="shared" si="2"/>
        <v>-6.6706021251475844E-2</v>
      </c>
      <c r="D17" s="165">
        <v>1694</v>
      </c>
      <c r="E17" s="165">
        <v>1669</v>
      </c>
      <c r="F17" s="184">
        <f t="shared" si="3"/>
        <v>-1.3593380614657202E-2</v>
      </c>
      <c r="G17" s="165">
        <v>1692</v>
      </c>
      <c r="H17" s="184">
        <f t="shared" si="3"/>
        <v>6.1480552070263483E-2</v>
      </c>
      <c r="I17" s="165">
        <v>1594</v>
      </c>
      <c r="J17" s="166"/>
      <c r="K17" s="167"/>
      <c r="L17" s="166"/>
      <c r="M17" s="168"/>
      <c r="N17" s="290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11" customFormat="1" ht="10.199999999999999">
      <c r="A18" s="164" t="s">
        <v>111</v>
      </c>
      <c r="B18" s="165">
        <v>676</v>
      </c>
      <c r="C18" s="184">
        <f t="shared" si="2"/>
        <v>-0.32060301507537692</v>
      </c>
      <c r="D18" s="165">
        <v>995</v>
      </c>
      <c r="E18" s="165">
        <v>878</v>
      </c>
      <c r="F18" s="184">
        <f t="shared" si="3"/>
        <v>-0.32095901005413763</v>
      </c>
      <c r="G18" s="165">
        <v>1293</v>
      </c>
      <c r="H18" s="184">
        <f t="shared" si="3"/>
        <v>-0.31514830508474578</v>
      </c>
      <c r="I18" s="165">
        <v>1888</v>
      </c>
      <c r="J18" s="166"/>
      <c r="K18" s="167"/>
      <c r="L18" s="166"/>
      <c r="M18" s="168"/>
      <c r="N18" s="290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11" customFormat="1" ht="10.199999999999999">
      <c r="A19" s="164" t="s">
        <v>112</v>
      </c>
      <c r="B19" s="165">
        <v>1286</v>
      </c>
      <c r="C19" s="184">
        <f t="shared" si="2"/>
        <v>5.1512673753066229E-2</v>
      </c>
      <c r="D19" s="165">
        <v>1223</v>
      </c>
      <c r="E19" s="165">
        <v>1307</v>
      </c>
      <c r="F19" s="184">
        <f t="shared" si="3"/>
        <v>3.8125496425734706E-2</v>
      </c>
      <c r="G19" s="165">
        <v>1259</v>
      </c>
      <c r="H19" s="184">
        <f t="shared" si="3"/>
        <v>-2.2515527950310532E-2</v>
      </c>
      <c r="I19" s="165">
        <v>1288</v>
      </c>
      <c r="J19" s="166"/>
      <c r="K19" s="167"/>
      <c r="L19" s="166"/>
      <c r="M19" s="168"/>
      <c r="N19" s="290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11" customFormat="1" ht="10.199999999999999">
      <c r="A20" s="164" t="s">
        <v>113</v>
      </c>
      <c r="B20" s="165">
        <v>814</v>
      </c>
      <c r="C20" s="184">
        <f t="shared" si="2"/>
        <v>2.7777777777777679E-2</v>
      </c>
      <c r="D20" s="165">
        <v>792</v>
      </c>
      <c r="E20" s="165">
        <v>818</v>
      </c>
      <c r="F20" s="184">
        <f t="shared" si="3"/>
        <v>4.9140049140048436E-3</v>
      </c>
      <c r="G20" s="165">
        <v>814</v>
      </c>
      <c r="H20" s="184">
        <f t="shared" si="3"/>
        <v>-0.1900497512437811</v>
      </c>
      <c r="I20" s="165">
        <v>1005</v>
      </c>
      <c r="J20" s="166"/>
      <c r="K20" s="167"/>
      <c r="L20" s="166"/>
      <c r="M20" s="168"/>
      <c r="N20" s="290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11" customFormat="1" ht="10.199999999999999">
      <c r="A21" s="164" t="s">
        <v>114</v>
      </c>
      <c r="B21" s="165">
        <v>475</v>
      </c>
      <c r="C21" s="184">
        <f t="shared" si="2"/>
        <v>-1.041666666666663E-2</v>
      </c>
      <c r="D21" s="165">
        <v>480</v>
      </c>
      <c r="E21" s="165">
        <v>481</v>
      </c>
      <c r="F21" s="184">
        <f t="shared" si="3"/>
        <v>-9.0737240075614345E-2</v>
      </c>
      <c r="G21" s="165">
        <v>529</v>
      </c>
      <c r="H21" s="184">
        <f t="shared" si="3"/>
        <v>-0.10490693739424706</v>
      </c>
      <c r="I21" s="165">
        <v>591</v>
      </c>
      <c r="J21" s="166"/>
      <c r="K21" s="167"/>
      <c r="L21" s="166"/>
      <c r="M21" s="168"/>
      <c r="N21" s="290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11" customFormat="1" ht="10.199999999999999">
      <c r="A22" s="164" t="s">
        <v>115</v>
      </c>
      <c r="B22" s="165">
        <v>173</v>
      </c>
      <c r="C22" s="184">
        <f t="shared" si="2"/>
        <v>-1.7045454545454586E-2</v>
      </c>
      <c r="D22" s="165">
        <v>176</v>
      </c>
      <c r="E22" s="165">
        <v>178</v>
      </c>
      <c r="F22" s="184">
        <f t="shared" si="3"/>
        <v>0.26241134751773054</v>
      </c>
      <c r="G22" s="165">
        <v>141</v>
      </c>
      <c r="H22" s="184">
        <f t="shared" si="3"/>
        <v>7.1428571428571175E-3</v>
      </c>
      <c r="I22" s="165">
        <v>140</v>
      </c>
      <c r="J22" s="166"/>
      <c r="K22" s="167"/>
      <c r="L22" s="166"/>
      <c r="M22" s="168"/>
      <c r="N22" s="290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11" customFormat="1" ht="10.199999999999999">
      <c r="A23" s="164" t="s">
        <v>116</v>
      </c>
      <c r="B23" s="165">
        <v>643</v>
      </c>
      <c r="C23" s="184">
        <f t="shared" si="2"/>
        <v>0.19516728624535307</v>
      </c>
      <c r="D23" s="165">
        <v>538</v>
      </c>
      <c r="E23" s="165">
        <v>571</v>
      </c>
      <c r="F23" s="184">
        <f t="shared" si="3"/>
        <v>8.1439393939394034E-2</v>
      </c>
      <c r="G23" s="165">
        <v>528</v>
      </c>
      <c r="H23" s="184">
        <f t="shared" si="3"/>
        <v>2.9239766081871288E-2</v>
      </c>
      <c r="I23" s="165">
        <v>513</v>
      </c>
      <c r="J23" s="166"/>
      <c r="K23" s="167"/>
      <c r="L23" s="166"/>
      <c r="M23" s="168"/>
      <c r="N23" s="290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11" customFormat="1" ht="10.199999999999999">
      <c r="A24" s="164" t="s">
        <v>117</v>
      </c>
      <c r="B24" s="165">
        <v>270</v>
      </c>
      <c r="C24" s="184">
        <f t="shared" si="2"/>
        <v>0.11570247933884303</v>
      </c>
      <c r="D24" s="165">
        <v>242</v>
      </c>
      <c r="E24" s="165">
        <v>261</v>
      </c>
      <c r="F24" s="184">
        <f t="shared" si="3"/>
        <v>0.19178082191780832</v>
      </c>
      <c r="G24" s="165">
        <v>219</v>
      </c>
      <c r="H24" s="184">
        <f t="shared" si="3"/>
        <v>0.55319148936170204</v>
      </c>
      <c r="I24" s="165">
        <v>141</v>
      </c>
      <c r="J24" s="166"/>
      <c r="K24" s="167"/>
      <c r="L24" s="166"/>
      <c r="M24" s="168"/>
      <c r="N24" s="290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1" customFormat="1" ht="10.199999999999999">
      <c r="A25" s="164" t="s">
        <v>118</v>
      </c>
      <c r="B25" s="165">
        <v>961</v>
      </c>
      <c r="C25" s="184">
        <f t="shared" si="2"/>
        <v>-6.7895247332686703E-2</v>
      </c>
      <c r="D25" s="165">
        <v>1031</v>
      </c>
      <c r="E25" s="165">
        <v>1017</v>
      </c>
      <c r="F25" s="184">
        <f t="shared" si="3"/>
        <v>-0.10079575596816981</v>
      </c>
      <c r="G25" s="165">
        <v>1131</v>
      </c>
      <c r="H25" s="184">
        <f t="shared" si="3"/>
        <v>-0.13992395437262362</v>
      </c>
      <c r="I25" s="165">
        <v>1315</v>
      </c>
      <c r="J25" s="166"/>
      <c r="K25" s="167"/>
      <c r="L25" s="166"/>
      <c r="M25" s="168"/>
      <c r="N25" s="290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11" customFormat="1" ht="10.199999999999999">
      <c r="A26" s="164" t="s">
        <v>119</v>
      </c>
      <c r="B26" s="169">
        <v>6</v>
      </c>
      <c r="C26" s="184">
        <f t="shared" si="2"/>
        <v>5</v>
      </c>
      <c r="D26" s="169">
        <v>1</v>
      </c>
      <c r="E26" s="169">
        <v>2</v>
      </c>
      <c r="F26" s="184">
        <f t="shared" si="3"/>
        <v>-0.6</v>
      </c>
      <c r="G26" s="169">
        <v>5</v>
      </c>
      <c r="H26" s="184">
        <f t="shared" si="3"/>
        <v>-0.5</v>
      </c>
      <c r="I26" s="169">
        <v>10</v>
      </c>
      <c r="J26" s="166"/>
      <c r="K26" s="170"/>
      <c r="L26" s="166"/>
      <c r="M26" s="171"/>
      <c r="N26" s="290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s="11" customFormat="1" ht="10.199999999999999">
      <c r="A27" s="164" t="s">
        <v>120</v>
      </c>
      <c r="B27" s="165">
        <v>1</v>
      </c>
      <c r="C27" s="184"/>
      <c r="D27" s="165">
        <v>0</v>
      </c>
      <c r="E27" s="165">
        <v>9</v>
      </c>
      <c r="F27" s="184">
        <f t="shared" si="3"/>
        <v>1.25</v>
      </c>
      <c r="G27" s="165">
        <v>4</v>
      </c>
      <c r="H27" s="184">
        <f t="shared" si="3"/>
        <v>0.33333333333333326</v>
      </c>
      <c r="I27" s="165">
        <v>3</v>
      </c>
      <c r="J27" s="166"/>
      <c r="K27" s="167"/>
      <c r="L27" s="166"/>
      <c r="M27" s="168"/>
      <c r="N27" s="290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s="3" customFormat="1" ht="10.199999999999999">
      <c r="A28" s="164" t="s">
        <v>121</v>
      </c>
      <c r="B28" s="165">
        <v>26</v>
      </c>
      <c r="C28" s="184">
        <f t="shared" si="2"/>
        <v>-0.1333333333333333</v>
      </c>
      <c r="D28" s="165">
        <v>30</v>
      </c>
      <c r="E28" s="165">
        <v>29</v>
      </c>
      <c r="F28" s="184">
        <f t="shared" si="3"/>
        <v>-9.375E-2</v>
      </c>
      <c r="G28" s="165">
        <v>32</v>
      </c>
      <c r="H28" s="184">
        <f t="shared" si="3"/>
        <v>-5.8823529411764719E-2</v>
      </c>
      <c r="I28" s="165">
        <v>34</v>
      </c>
      <c r="J28" s="166"/>
      <c r="K28" s="167"/>
      <c r="L28" s="166"/>
      <c r="M28" s="168"/>
      <c r="N28" s="29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11" customFormat="1" ht="10.199999999999999">
      <c r="A29" s="164" t="s">
        <v>122</v>
      </c>
      <c r="B29" s="165">
        <v>0</v>
      </c>
      <c r="C29" s="184">
        <f t="shared" si="2"/>
        <v>-1</v>
      </c>
      <c r="D29" s="165">
        <v>1</v>
      </c>
      <c r="E29" s="165">
        <v>1</v>
      </c>
      <c r="F29" s="184">
        <f t="shared" si="3"/>
        <v>-0.75</v>
      </c>
      <c r="G29" s="165">
        <v>4</v>
      </c>
      <c r="H29" s="184">
        <f t="shared" si="3"/>
        <v>1</v>
      </c>
      <c r="I29" s="165">
        <v>2</v>
      </c>
      <c r="J29" s="166"/>
      <c r="K29" s="167"/>
      <c r="L29" s="166"/>
      <c r="M29" s="168"/>
      <c r="N29" s="290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1" customFormat="1" ht="10.199999999999999">
      <c r="A30" s="164" t="s">
        <v>123</v>
      </c>
      <c r="B30" s="165">
        <v>650</v>
      </c>
      <c r="C30" s="184">
        <f t="shared" si="2"/>
        <v>7.2607260726072598E-2</v>
      </c>
      <c r="D30" s="165">
        <v>606</v>
      </c>
      <c r="E30" s="165">
        <v>642</v>
      </c>
      <c r="F30" s="184">
        <f t="shared" si="3"/>
        <v>0.14438502673796783</v>
      </c>
      <c r="G30" s="165">
        <v>561</v>
      </c>
      <c r="H30" s="184">
        <f t="shared" si="3"/>
        <v>0.30465116279069759</v>
      </c>
      <c r="I30" s="165">
        <v>430</v>
      </c>
      <c r="J30" s="166"/>
      <c r="K30" s="167"/>
      <c r="L30" s="166"/>
      <c r="M30" s="168"/>
      <c r="N30" s="290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1" customFormat="1" ht="10.199999999999999">
      <c r="A31" s="164" t="s">
        <v>124</v>
      </c>
      <c r="B31" s="165">
        <v>41</v>
      </c>
      <c r="C31" s="184">
        <f t="shared" si="2"/>
        <v>-0.21153846153846156</v>
      </c>
      <c r="D31" s="165">
        <v>52</v>
      </c>
      <c r="E31" s="165">
        <v>45</v>
      </c>
      <c r="F31" s="184">
        <f t="shared" si="3"/>
        <v>-0.11764705882352944</v>
      </c>
      <c r="G31" s="165">
        <v>51</v>
      </c>
      <c r="H31" s="184">
        <f t="shared" si="3"/>
        <v>8.5106382978723305E-2</v>
      </c>
      <c r="I31" s="165">
        <v>47</v>
      </c>
      <c r="J31" s="166"/>
      <c r="K31" s="167"/>
      <c r="L31" s="166"/>
      <c r="M31" s="168"/>
      <c r="N31" s="290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1" customFormat="1" ht="10.199999999999999">
      <c r="A32" s="164" t="s">
        <v>125</v>
      </c>
      <c r="B32" s="165">
        <v>6</v>
      </c>
      <c r="C32" s="184">
        <f t="shared" si="2"/>
        <v>2</v>
      </c>
      <c r="D32" s="165">
        <v>2</v>
      </c>
      <c r="E32" s="165">
        <v>4</v>
      </c>
      <c r="F32" s="184">
        <f t="shared" si="3"/>
        <v>1</v>
      </c>
      <c r="G32" s="165">
        <v>2</v>
      </c>
      <c r="H32" s="184">
        <f t="shared" si="3"/>
        <v>-0.6</v>
      </c>
      <c r="I32" s="165">
        <v>5</v>
      </c>
      <c r="J32" s="172"/>
      <c r="K32" s="167"/>
      <c r="L32" s="172"/>
      <c r="M32" s="168"/>
      <c r="N32" s="290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1" customFormat="1" ht="10.199999999999999">
      <c r="A33" s="164" t="s">
        <v>126</v>
      </c>
      <c r="B33" s="173">
        <v>79</v>
      </c>
      <c r="C33" s="184">
        <f t="shared" si="2"/>
        <v>0.14492753623188404</v>
      </c>
      <c r="D33" s="173">
        <v>69</v>
      </c>
      <c r="E33" s="173">
        <v>73</v>
      </c>
      <c r="F33" s="184">
        <f t="shared" si="3"/>
        <v>0.12307692307692308</v>
      </c>
      <c r="G33" s="173">
        <v>65</v>
      </c>
      <c r="H33" s="184">
        <f t="shared" si="3"/>
        <v>3.0625</v>
      </c>
      <c r="I33" s="173">
        <v>16</v>
      </c>
      <c r="J33" s="166"/>
      <c r="K33" s="174"/>
      <c r="L33" s="166"/>
      <c r="M33" s="173"/>
      <c r="N33" s="290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11" customFormat="1" ht="10.199999999999999">
      <c r="A34" s="164" t="s">
        <v>127</v>
      </c>
      <c r="B34" s="173">
        <v>4</v>
      </c>
      <c r="C34" s="184">
        <f t="shared" si="2"/>
        <v>-0.33333333333333337</v>
      </c>
      <c r="D34" s="173">
        <v>6</v>
      </c>
      <c r="E34" s="173">
        <v>5</v>
      </c>
      <c r="F34" s="184">
        <f t="shared" si="3"/>
        <v>-0.64285714285714279</v>
      </c>
      <c r="G34" s="173">
        <v>14</v>
      </c>
      <c r="H34" s="184">
        <f t="shared" si="3"/>
        <v>-0.33333333333333337</v>
      </c>
      <c r="I34" s="173">
        <v>21</v>
      </c>
      <c r="J34" s="166"/>
      <c r="K34" s="174"/>
      <c r="L34" s="166"/>
      <c r="M34" s="173"/>
      <c r="N34" s="290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s="11" customFormat="1" ht="10.199999999999999">
      <c r="A35" s="171" t="s">
        <v>106</v>
      </c>
      <c r="B35" s="173">
        <f>B13</f>
        <v>552</v>
      </c>
      <c r="C35" s="184">
        <f t="shared" si="2"/>
        <v>-0.11680000000000001</v>
      </c>
      <c r="D35" s="173">
        <f>D13</f>
        <v>625</v>
      </c>
      <c r="E35" s="173">
        <f>E13</f>
        <v>581</v>
      </c>
      <c r="F35" s="184">
        <f t="shared" si="3"/>
        <v>-0.11567732115677321</v>
      </c>
      <c r="G35" s="175">
        <f>G13</f>
        <v>657</v>
      </c>
      <c r="H35" s="184">
        <f t="shared" si="3"/>
        <v>-0.61913043478260876</v>
      </c>
      <c r="I35" s="175">
        <f>I13</f>
        <v>1725</v>
      </c>
      <c r="J35" s="166"/>
      <c r="K35" s="176"/>
      <c r="L35" s="166"/>
      <c r="M35" s="173"/>
      <c r="N35" s="290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1" customFormat="1" ht="10.199999999999999">
      <c r="A36" s="171" t="s">
        <v>107</v>
      </c>
      <c r="B36" s="173">
        <f>B14</f>
        <v>5381</v>
      </c>
      <c r="C36" s="184">
        <f t="shared" si="2"/>
        <v>-1.4649331624244644E-2</v>
      </c>
      <c r="D36" s="173">
        <f>D14</f>
        <v>5461</v>
      </c>
      <c r="E36" s="173">
        <f>E14</f>
        <v>6827</v>
      </c>
      <c r="F36" s="184">
        <f t="shared" si="3"/>
        <v>-4.4640358242373335E-2</v>
      </c>
      <c r="G36" s="175">
        <f>G14</f>
        <v>7146</v>
      </c>
      <c r="H36" s="184">
        <f t="shared" si="3"/>
        <v>-2.6165167620605057E-2</v>
      </c>
      <c r="I36" s="175">
        <f>I14</f>
        <v>7338</v>
      </c>
      <c r="J36" s="166"/>
      <c r="K36" s="176"/>
      <c r="L36" s="166"/>
      <c r="M36" s="173"/>
      <c r="N36" s="290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3" customFormat="1" ht="10.199999999999999">
      <c r="A37" s="171" t="s">
        <v>128</v>
      </c>
      <c r="B37" s="173">
        <f>B15+B16+B17+B18+B19+B20+B21+B22+B23+B24</f>
        <v>8179</v>
      </c>
      <c r="C37" s="184">
        <f t="shared" si="2"/>
        <v>-2.9659508838533633E-2</v>
      </c>
      <c r="D37" s="173">
        <f>D15+D16+D17+D18+D19+D20+D21+D22+D23+D24</f>
        <v>8429</v>
      </c>
      <c r="E37" s="173">
        <f>E15+E16+E17+E18+E19+E20+E21+E22+E23+E24</f>
        <v>8808</v>
      </c>
      <c r="F37" s="184">
        <f t="shared" si="3"/>
        <v>-3.1768714960976108E-2</v>
      </c>
      <c r="G37" s="169">
        <f>G15+G16+G17+G18+G19+G20+G21+G22+G23+G24</f>
        <v>9097</v>
      </c>
      <c r="H37" s="184">
        <f t="shared" si="3"/>
        <v>-0.10312530809425224</v>
      </c>
      <c r="I37" s="169">
        <f>I15+I16+I17+I18+I19+I20+I21+I22+I23+I24</f>
        <v>10143</v>
      </c>
      <c r="J37" s="166"/>
      <c r="K37" s="170"/>
      <c r="L37" s="166"/>
      <c r="M37" s="177"/>
      <c r="N37" s="290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3" customFormat="1" ht="10.199999999999999">
      <c r="A38" s="171" t="s">
        <v>129</v>
      </c>
      <c r="B38" s="173">
        <f>B25+B26+B27+B28+B29+B30</f>
        <v>1644</v>
      </c>
      <c r="C38" s="184">
        <f t="shared" si="2"/>
        <v>-1.49790293588975E-2</v>
      </c>
      <c r="D38" s="173">
        <f>D25+D26+D27+D28+D29+D30</f>
        <v>1669</v>
      </c>
      <c r="E38" s="173">
        <f>E25+E26+E27+E28+E29+E30</f>
        <v>1700</v>
      </c>
      <c r="F38" s="184">
        <f t="shared" si="3"/>
        <v>-2.1301093839953933E-2</v>
      </c>
      <c r="G38" s="169">
        <f>G25+G26+G27+G28+G29+G30</f>
        <v>1737</v>
      </c>
      <c r="H38" s="184">
        <f t="shared" si="3"/>
        <v>-3.1772575250836099E-2</v>
      </c>
      <c r="I38" s="169">
        <f>I25+I26+I27+I28+I29+I30</f>
        <v>1794</v>
      </c>
      <c r="J38" s="166"/>
      <c r="K38" s="170"/>
      <c r="L38" s="166"/>
      <c r="M38" s="177"/>
      <c r="N38" s="290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11" customFormat="1" ht="10.199999999999999">
      <c r="A39" s="171" t="s">
        <v>130</v>
      </c>
      <c r="B39" s="173">
        <f>B31+B32+B33+B34</f>
        <v>130</v>
      </c>
      <c r="C39" s="184">
        <f t="shared" si="2"/>
        <v>7.7519379844961378E-3</v>
      </c>
      <c r="D39" s="173">
        <f>D31+D32+D33+D34</f>
        <v>129</v>
      </c>
      <c r="E39" s="173">
        <f>E31+E32+E33+E34</f>
        <v>127</v>
      </c>
      <c r="F39" s="184">
        <f t="shared" si="3"/>
        <v>-3.7878787878787845E-2</v>
      </c>
      <c r="G39" s="169">
        <f>G31+G32+G33+G34</f>
        <v>132</v>
      </c>
      <c r="H39" s="184">
        <f t="shared" si="3"/>
        <v>0.48314606741573041</v>
      </c>
      <c r="I39" s="169">
        <f>I31+I32+I33+I34</f>
        <v>89</v>
      </c>
      <c r="J39" s="166"/>
      <c r="K39" s="170"/>
      <c r="L39" s="166"/>
      <c r="M39" s="177"/>
      <c r="N39" s="290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s="3" customFormat="1" ht="10.199999999999999">
      <c r="A40" s="162" t="s">
        <v>131</v>
      </c>
      <c r="B40" s="283">
        <f>SUM(B35:B39)</f>
        <v>15886</v>
      </c>
      <c r="C40" s="243">
        <f t="shared" si="2"/>
        <v>-2.6175442898301982E-2</v>
      </c>
      <c r="D40" s="283">
        <f>SUM(D35:D39)</f>
        <v>16313</v>
      </c>
      <c r="E40" s="283">
        <f>SUM(E35:E39)</f>
        <v>18043</v>
      </c>
      <c r="F40" s="243">
        <f t="shared" ref="F40:H40" si="4">IF((+E40/G40)&lt;0,"n.m.",IF(E40&lt;0,(+E40/G40-1)*-1,(+E40/G40-1)))</f>
        <v>-3.8680803452501467E-2</v>
      </c>
      <c r="G40" s="178">
        <f>SUM(G35:G39)</f>
        <v>18769</v>
      </c>
      <c r="H40" s="243">
        <f t="shared" si="4"/>
        <v>-0.11000995779790412</v>
      </c>
      <c r="I40" s="178">
        <f>SUM(I35:I39)</f>
        <v>21089</v>
      </c>
      <c r="J40" s="155">
        <f>(I40-K40)/K40</f>
        <v>-7.0928234723996647E-2</v>
      </c>
      <c r="K40" s="179">
        <v>22699</v>
      </c>
      <c r="L40" s="155">
        <f>(K40-M40)/M40</f>
        <v>-2.1468293313790576E-2</v>
      </c>
      <c r="M40" s="179">
        <v>23197</v>
      </c>
      <c r="N40" s="290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93" customFormat="1" ht="10.199999999999999">
      <c r="A41" s="180" t="s">
        <v>141</v>
      </c>
      <c r="B41" s="284">
        <f>B40/Group!B153</f>
        <v>0.23087431693989072</v>
      </c>
      <c r="C41" s="166"/>
      <c r="D41" s="284">
        <f>D40/Group!D153</f>
        <v>0.22919242441272339</v>
      </c>
      <c r="E41" s="284">
        <f>E40/Group!E153</f>
        <v>0.24610243469958398</v>
      </c>
      <c r="F41" s="166"/>
      <c r="G41" s="181">
        <f>G40/Group!G153</f>
        <v>0.25744108852494996</v>
      </c>
      <c r="H41" s="182"/>
      <c r="I41" s="181">
        <f>I40/Group!I153</f>
        <v>0.28849521203830369</v>
      </c>
      <c r="J41" s="182"/>
      <c r="K41" s="182">
        <f>K40/Group!K153</f>
        <v>0.30670179705445211</v>
      </c>
      <c r="L41" s="182"/>
      <c r="M41" s="182">
        <f>M40/Group!M153</f>
        <v>0.30178492441391513</v>
      </c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1:24" ht="12" customHeight="1">
      <c r="A42" s="158"/>
      <c r="B42" s="161"/>
      <c r="C42" s="166"/>
      <c r="D42" s="161"/>
      <c r="E42" s="161"/>
      <c r="F42" s="160"/>
      <c r="G42" s="161"/>
      <c r="H42" s="160"/>
      <c r="I42" s="161"/>
      <c r="J42" s="160"/>
      <c r="K42" s="161"/>
      <c r="L42" s="156"/>
      <c r="M42" s="161"/>
    </row>
    <row r="43" spans="1:24" s="157" customFormat="1" ht="12" customHeight="1">
      <c r="A43" s="162" t="s">
        <v>4</v>
      </c>
      <c r="B43" s="163"/>
      <c r="C43" s="166"/>
      <c r="D43" s="163"/>
      <c r="E43" s="163"/>
      <c r="F43" s="160"/>
      <c r="G43" s="163"/>
      <c r="H43" s="160"/>
      <c r="I43" s="163"/>
      <c r="J43" s="160"/>
      <c r="K43" s="163"/>
      <c r="L43" s="156"/>
      <c r="M43" s="163"/>
    </row>
    <row r="44" spans="1:24" s="3" customFormat="1" ht="10.199999999999999">
      <c r="A44" s="164" t="s">
        <v>106</v>
      </c>
      <c r="B44" s="183">
        <v>14.38</v>
      </c>
      <c r="C44" s="184">
        <f t="shared" ref="C44:C71" si="5">IF((+B44/D44)&lt;0,"n.m.",IF(B44&lt;0,(+B44/D44-1)*-1,(+B44/D44-1)))</f>
        <v>-0.32709405708937767</v>
      </c>
      <c r="D44" s="183">
        <v>21.37</v>
      </c>
      <c r="E44" s="183">
        <v>128.81</v>
      </c>
      <c r="F44" s="184">
        <f t="shared" ref="F44:H70" si="6">IF((+E44/G44)&lt;0,"n.m.",IF(E44&lt;0,(+E44/G44-1)*-1,(+E44/G44-1)))</f>
        <v>-2.3648904722201158E-2</v>
      </c>
      <c r="G44" s="183">
        <v>131.93</v>
      </c>
      <c r="H44" s="184">
        <f t="shared" si="6"/>
        <v>-0.60772478591817314</v>
      </c>
      <c r="I44" s="183">
        <v>336.32</v>
      </c>
      <c r="J44" s="166"/>
      <c r="K44" s="167"/>
      <c r="L44" s="166"/>
      <c r="M44" s="168"/>
      <c r="N44" s="291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3" customFormat="1" ht="10.199999999999999">
      <c r="A45" s="164" t="s">
        <v>107</v>
      </c>
      <c r="B45" s="183">
        <v>244.21</v>
      </c>
      <c r="C45" s="184">
        <f t="shared" si="5"/>
        <v>1.3866400963175263E-2</v>
      </c>
      <c r="D45" s="183">
        <v>240.87</v>
      </c>
      <c r="E45" s="183">
        <v>1599.56</v>
      </c>
      <c r="F45" s="184">
        <f t="shared" si="6"/>
        <v>-4.8413387747331948E-2</v>
      </c>
      <c r="G45" s="183">
        <v>1680.94</v>
      </c>
      <c r="H45" s="184">
        <f t="shared" si="6"/>
        <v>3.1061767772802673E-2</v>
      </c>
      <c r="I45" s="183">
        <v>1630.3</v>
      </c>
      <c r="J45" s="166"/>
      <c r="K45" s="167"/>
      <c r="L45" s="166"/>
      <c r="M45" s="168"/>
      <c r="N45" s="291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3" customFormat="1" ht="10.199999999999999">
      <c r="A46" s="164" t="s">
        <v>108</v>
      </c>
      <c r="B46" s="183">
        <v>2.48</v>
      </c>
      <c r="C46" s="184">
        <f t="shared" si="5"/>
        <v>-0.45614035087719296</v>
      </c>
      <c r="D46" s="183">
        <v>4.5599999999999996</v>
      </c>
      <c r="E46" s="183">
        <v>17.91</v>
      </c>
      <c r="F46" s="184">
        <f t="shared" si="6"/>
        <v>-0.42411575562700965</v>
      </c>
      <c r="G46" s="183">
        <v>31.1</v>
      </c>
      <c r="H46" s="184">
        <f t="shared" si="6"/>
        <v>-0.38537549407114624</v>
      </c>
      <c r="I46" s="183">
        <v>50.6</v>
      </c>
      <c r="J46" s="166"/>
      <c r="K46" s="167"/>
      <c r="L46" s="166"/>
      <c r="M46" s="168"/>
      <c r="N46" s="291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3" customFormat="1" ht="10.199999999999999">
      <c r="A47" s="164" t="s">
        <v>109</v>
      </c>
      <c r="B47" s="183">
        <v>65.2</v>
      </c>
      <c r="C47" s="184">
        <f t="shared" si="5"/>
        <v>0.33688743079762151</v>
      </c>
      <c r="D47" s="183">
        <v>48.77</v>
      </c>
      <c r="E47" s="183">
        <v>643.23</v>
      </c>
      <c r="F47" s="184">
        <f t="shared" si="6"/>
        <v>0.27349581262745271</v>
      </c>
      <c r="G47" s="183">
        <v>505.09</v>
      </c>
      <c r="H47" s="184">
        <f t="shared" si="6"/>
        <v>-7.4163688021262941E-2</v>
      </c>
      <c r="I47" s="183">
        <v>545.54999999999995</v>
      </c>
      <c r="J47" s="166"/>
      <c r="K47" s="167"/>
      <c r="L47" s="166"/>
      <c r="M47" s="168"/>
      <c r="N47" s="291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11" customFormat="1" ht="10.199999999999999">
      <c r="A48" s="164" t="s">
        <v>110</v>
      </c>
      <c r="B48" s="183">
        <v>28.45</v>
      </c>
      <c r="C48" s="184">
        <f t="shared" si="5"/>
        <v>-0.55602372034956304</v>
      </c>
      <c r="D48" s="183">
        <v>64.08</v>
      </c>
      <c r="E48" s="183">
        <v>466.3</v>
      </c>
      <c r="F48" s="184">
        <f t="shared" si="6"/>
        <v>8.1450902175425499E-2</v>
      </c>
      <c r="G48" s="183">
        <v>431.18</v>
      </c>
      <c r="H48" s="184">
        <f t="shared" si="6"/>
        <v>7.1254658385093261E-2</v>
      </c>
      <c r="I48" s="183">
        <v>402.5</v>
      </c>
      <c r="J48" s="166"/>
      <c r="K48" s="167"/>
      <c r="L48" s="166"/>
      <c r="M48" s="168"/>
      <c r="N48" s="291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s="11" customFormat="1" ht="10.199999999999999">
      <c r="A49" s="164" t="s">
        <v>111</v>
      </c>
      <c r="B49" s="183">
        <v>14.88</v>
      </c>
      <c r="C49" s="184">
        <f t="shared" si="5"/>
        <v>-0.3383726100489105</v>
      </c>
      <c r="D49" s="183">
        <v>22.49</v>
      </c>
      <c r="E49" s="183">
        <v>174.71</v>
      </c>
      <c r="F49" s="184">
        <f t="shared" si="6"/>
        <v>-7.9941018484385618E-2</v>
      </c>
      <c r="G49" s="183">
        <v>189.89</v>
      </c>
      <c r="H49" s="184">
        <f t="shared" si="6"/>
        <v>-0.53670676068021572</v>
      </c>
      <c r="I49" s="183">
        <v>409.87</v>
      </c>
      <c r="J49" s="166"/>
      <c r="K49" s="167"/>
      <c r="L49" s="166"/>
      <c r="M49" s="168"/>
      <c r="N49" s="291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s="11" customFormat="1" ht="10.199999999999999">
      <c r="A50" s="164" t="s">
        <v>112</v>
      </c>
      <c r="B50" s="183">
        <v>94.6</v>
      </c>
      <c r="C50" s="184">
        <f t="shared" si="5"/>
        <v>0.17690967902463295</v>
      </c>
      <c r="D50" s="183">
        <v>80.38</v>
      </c>
      <c r="E50" s="183">
        <v>666.04</v>
      </c>
      <c r="F50" s="184">
        <f t="shared" si="6"/>
        <v>0.72522405843651239</v>
      </c>
      <c r="G50" s="183">
        <v>386.06</v>
      </c>
      <c r="H50" s="184">
        <f t="shared" si="6"/>
        <v>0.28314554458736341</v>
      </c>
      <c r="I50" s="183">
        <v>300.87</v>
      </c>
      <c r="J50" s="166"/>
      <c r="K50" s="167"/>
      <c r="L50" s="166"/>
      <c r="M50" s="168"/>
      <c r="N50" s="291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s="11" customFormat="1" ht="10.199999999999999">
      <c r="A51" s="164" t="s">
        <v>113</v>
      </c>
      <c r="B51" s="183">
        <v>33.659999999999997</v>
      </c>
      <c r="C51" s="184">
        <f t="shared" si="5"/>
        <v>-6.733167082294278E-2</v>
      </c>
      <c r="D51" s="183">
        <v>36.090000000000003</v>
      </c>
      <c r="E51" s="183">
        <v>203.22</v>
      </c>
      <c r="F51" s="184">
        <f t="shared" si="6"/>
        <v>0.38603191924703317</v>
      </c>
      <c r="G51" s="183">
        <v>146.62</v>
      </c>
      <c r="H51" s="184">
        <f t="shared" si="6"/>
        <v>-0.48503793200337175</v>
      </c>
      <c r="I51" s="183">
        <v>284.72000000000003</v>
      </c>
      <c r="J51" s="166"/>
      <c r="K51" s="167"/>
      <c r="L51" s="166"/>
      <c r="M51" s="168"/>
      <c r="N51" s="291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11" customFormat="1" ht="10.199999999999999">
      <c r="A52" s="164" t="s">
        <v>114</v>
      </c>
      <c r="B52" s="183">
        <v>9.1999999999999993</v>
      </c>
      <c r="C52" s="184">
        <f t="shared" si="5"/>
        <v>-8.3665338645418363E-2</v>
      </c>
      <c r="D52" s="183">
        <v>10.039999999999999</v>
      </c>
      <c r="E52" s="183">
        <v>55.46</v>
      </c>
      <c r="F52" s="184">
        <f t="shared" si="6"/>
        <v>-0.46029583495523552</v>
      </c>
      <c r="G52" s="183">
        <v>102.76</v>
      </c>
      <c r="H52" s="184">
        <f t="shared" si="6"/>
        <v>-9.8359217337895877E-2</v>
      </c>
      <c r="I52" s="183">
        <v>113.97</v>
      </c>
      <c r="J52" s="166"/>
      <c r="K52" s="167"/>
      <c r="L52" s="166"/>
      <c r="M52" s="168"/>
      <c r="N52" s="291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s="11" customFormat="1" ht="10.199999999999999">
      <c r="A53" s="164" t="s">
        <v>115</v>
      </c>
      <c r="B53" s="183">
        <v>7.76</v>
      </c>
      <c r="C53" s="184">
        <f t="shared" si="5"/>
        <v>-0.62090864680019542</v>
      </c>
      <c r="D53" s="183">
        <v>20.47</v>
      </c>
      <c r="E53" s="183">
        <v>88.72</v>
      </c>
      <c r="F53" s="184">
        <f t="shared" si="6"/>
        <v>0.54699215344376628</v>
      </c>
      <c r="G53" s="183">
        <v>57.35</v>
      </c>
      <c r="H53" s="184">
        <f t="shared" si="6"/>
        <v>0.22857754927163665</v>
      </c>
      <c r="I53" s="183">
        <v>46.68</v>
      </c>
      <c r="J53" s="166"/>
      <c r="K53" s="167"/>
      <c r="L53" s="166"/>
      <c r="M53" s="168"/>
      <c r="N53" s="291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s="11" customFormat="1" ht="10.199999999999999">
      <c r="A54" s="164" t="s">
        <v>116</v>
      </c>
      <c r="B54" s="183">
        <v>9.42</v>
      </c>
      <c r="C54" s="184">
        <f t="shared" si="5"/>
        <v>0.93032786885245899</v>
      </c>
      <c r="D54" s="183">
        <v>4.88</v>
      </c>
      <c r="E54" s="183">
        <v>42.93</v>
      </c>
      <c r="F54" s="184">
        <f t="shared" si="6"/>
        <v>0.19449081803005019</v>
      </c>
      <c r="G54" s="183">
        <v>35.94</v>
      </c>
      <c r="H54" s="184">
        <f t="shared" si="6"/>
        <v>0.22578444747612547</v>
      </c>
      <c r="I54" s="183">
        <v>29.32</v>
      </c>
      <c r="J54" s="166"/>
      <c r="K54" s="167"/>
      <c r="L54" s="166"/>
      <c r="M54" s="168"/>
      <c r="N54" s="291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s="11" customFormat="1" ht="10.199999999999999">
      <c r="A55" s="164" t="s">
        <v>117</v>
      </c>
      <c r="B55" s="183">
        <v>4.42</v>
      </c>
      <c r="C55" s="184">
        <f t="shared" si="5"/>
        <v>0.26647564469914053</v>
      </c>
      <c r="D55" s="183">
        <v>3.4899999999999998</v>
      </c>
      <c r="E55" s="183">
        <v>31.58</v>
      </c>
      <c r="F55" s="184">
        <f t="shared" si="6"/>
        <v>-0.11664335664335668</v>
      </c>
      <c r="G55" s="183">
        <v>35.75</v>
      </c>
      <c r="H55" s="184">
        <f t="shared" si="6"/>
        <v>1.0640877598152425</v>
      </c>
      <c r="I55" s="183">
        <v>17.32</v>
      </c>
      <c r="J55" s="166"/>
      <c r="K55" s="167"/>
      <c r="L55" s="166"/>
      <c r="M55" s="168"/>
      <c r="N55" s="291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11" customFormat="1" ht="10.199999999999999">
      <c r="A56" s="164" t="s">
        <v>118</v>
      </c>
      <c r="B56" s="183">
        <v>59.25</v>
      </c>
      <c r="C56" s="184">
        <f t="shared" si="5"/>
        <v>0.11455981941309257</v>
      </c>
      <c r="D56" s="183">
        <v>53.16</v>
      </c>
      <c r="E56" s="183">
        <v>279.41000000000003</v>
      </c>
      <c r="F56" s="184">
        <f t="shared" si="6"/>
        <v>-4.8233811356746203E-2</v>
      </c>
      <c r="G56" s="183">
        <v>293.57</v>
      </c>
      <c r="H56" s="184">
        <f t="shared" si="6"/>
        <v>-9.7707155151217195E-2</v>
      </c>
      <c r="I56" s="183">
        <v>325.36</v>
      </c>
      <c r="J56" s="166"/>
      <c r="K56" s="167"/>
      <c r="L56" s="166"/>
      <c r="M56" s="168"/>
      <c r="N56" s="291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s="11" customFormat="1" ht="10.199999999999999">
      <c r="A57" s="164" t="s">
        <v>119</v>
      </c>
      <c r="B57" s="185">
        <v>0.21</v>
      </c>
      <c r="C57" s="184">
        <f t="shared" si="5"/>
        <v>-0.27586206896551724</v>
      </c>
      <c r="D57" s="185">
        <v>0.28999999999999998</v>
      </c>
      <c r="E57" s="185">
        <v>1.22</v>
      </c>
      <c r="F57" s="184">
        <f t="shared" si="6"/>
        <v>-0.75889328063241102</v>
      </c>
      <c r="G57" s="185">
        <v>5.0599999999999996</v>
      </c>
      <c r="H57" s="184">
        <f t="shared" si="6"/>
        <v>-2.3166023166023231E-2</v>
      </c>
      <c r="I57" s="185">
        <v>5.18</v>
      </c>
      <c r="J57" s="166"/>
      <c r="K57" s="170"/>
      <c r="L57" s="166"/>
      <c r="M57" s="171"/>
      <c r="N57" s="291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s="11" customFormat="1" ht="10.199999999999999">
      <c r="A58" s="164" t="s">
        <v>120</v>
      </c>
      <c r="B58" s="183">
        <v>0</v>
      </c>
      <c r="C58" s="184">
        <f t="shared" si="5"/>
        <v>-1</v>
      </c>
      <c r="D58" s="183">
        <v>7.0000000000000007E-2</v>
      </c>
      <c r="E58" s="183">
        <v>0.1</v>
      </c>
      <c r="F58" s="184"/>
      <c r="G58" s="183">
        <v>0</v>
      </c>
      <c r="H58" s="184"/>
      <c r="I58" s="183">
        <v>0</v>
      </c>
      <c r="J58" s="166"/>
      <c r="K58" s="167"/>
      <c r="L58" s="166"/>
      <c r="M58" s="168"/>
      <c r="N58" s="291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s="3" customFormat="1" ht="10.199999999999999">
      <c r="A59" s="164" t="s">
        <v>121</v>
      </c>
      <c r="B59" s="183">
        <v>0.75</v>
      </c>
      <c r="C59" s="184">
        <f t="shared" si="5"/>
        <v>-0.36974789915966388</v>
      </c>
      <c r="D59" s="183">
        <v>1.19</v>
      </c>
      <c r="E59" s="183">
        <v>6.24</v>
      </c>
      <c r="F59" s="184">
        <f t="shared" si="6"/>
        <v>0.21637426900584811</v>
      </c>
      <c r="G59" s="183">
        <v>5.13</v>
      </c>
      <c r="H59" s="184">
        <f t="shared" si="6"/>
        <v>-0.12755102040816324</v>
      </c>
      <c r="I59" s="183">
        <v>5.88</v>
      </c>
      <c r="J59" s="166"/>
      <c r="K59" s="167"/>
      <c r="L59" s="166"/>
      <c r="M59" s="168"/>
      <c r="N59" s="291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11" customFormat="1" ht="10.199999999999999">
      <c r="A60" s="164" t="s">
        <v>122</v>
      </c>
      <c r="B60" s="183">
        <v>7.0000000000000007E-2</v>
      </c>
      <c r="C60" s="359" t="str">
        <f t="shared" si="5"/>
        <v>n.m.</v>
      </c>
      <c r="D60" s="183">
        <v>-0.04</v>
      </c>
      <c r="E60" s="183">
        <v>0.03</v>
      </c>
      <c r="F60" s="184">
        <f t="shared" si="6"/>
        <v>-0.98</v>
      </c>
      <c r="G60" s="183">
        <v>1.5</v>
      </c>
      <c r="H60" s="184">
        <f t="shared" si="6"/>
        <v>-0.31192660550458717</v>
      </c>
      <c r="I60" s="183">
        <v>2.1800000000000002</v>
      </c>
      <c r="J60" s="166"/>
      <c r="K60" s="167"/>
      <c r="L60" s="166"/>
      <c r="M60" s="168"/>
      <c r="N60" s="291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s="11" customFormat="1" ht="10.199999999999999">
      <c r="A61" s="164" t="s">
        <v>123</v>
      </c>
      <c r="B61" s="183">
        <v>18.64</v>
      </c>
      <c r="C61" s="184">
        <f t="shared" si="5"/>
        <v>2.1929824561403688E-2</v>
      </c>
      <c r="D61" s="183">
        <v>18.239999999999998</v>
      </c>
      <c r="E61" s="183">
        <v>100.73</v>
      </c>
      <c r="F61" s="184">
        <f t="shared" si="6"/>
        <v>0.11674057649667402</v>
      </c>
      <c r="G61" s="183">
        <v>90.2</v>
      </c>
      <c r="H61" s="184">
        <f t="shared" si="6"/>
        <v>0.92817443351859774</v>
      </c>
      <c r="I61" s="183">
        <v>46.78</v>
      </c>
      <c r="J61" s="166"/>
      <c r="K61" s="167"/>
      <c r="L61" s="166"/>
      <c r="M61" s="168"/>
      <c r="N61" s="291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11" customFormat="1" ht="10.199999999999999">
      <c r="A62" s="164" t="s">
        <v>124</v>
      </c>
      <c r="B62" s="183">
        <v>0.22</v>
      </c>
      <c r="C62" s="184">
        <f t="shared" si="5"/>
        <v>-0.95686274509803926</v>
      </c>
      <c r="D62" s="183">
        <v>5.0999999999999996</v>
      </c>
      <c r="E62" s="183">
        <v>12.72</v>
      </c>
      <c r="F62" s="184">
        <f t="shared" si="6"/>
        <v>-0.39658444022770389</v>
      </c>
      <c r="G62" s="183">
        <v>21.08</v>
      </c>
      <c r="H62" s="184">
        <f t="shared" si="6"/>
        <v>0.37777777777777755</v>
      </c>
      <c r="I62" s="183">
        <v>15.3</v>
      </c>
      <c r="J62" s="166"/>
      <c r="K62" s="167"/>
      <c r="L62" s="166"/>
      <c r="M62" s="168"/>
      <c r="N62" s="291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s="11" customFormat="1" ht="10.199999999999999">
      <c r="A63" s="164" t="s">
        <v>125</v>
      </c>
      <c r="B63" s="183">
        <v>0.42</v>
      </c>
      <c r="C63" s="184">
        <f t="shared" si="5"/>
        <v>20</v>
      </c>
      <c r="D63" s="183">
        <v>0.02</v>
      </c>
      <c r="E63" s="183">
        <v>1.32</v>
      </c>
      <c r="F63" s="184">
        <f t="shared" si="6"/>
        <v>-0.46774193548387089</v>
      </c>
      <c r="G63" s="183">
        <v>2.48</v>
      </c>
      <c r="H63" s="184">
        <f t="shared" si="6"/>
        <v>-0.50988142292490113</v>
      </c>
      <c r="I63" s="183">
        <v>5.0599999999999996</v>
      </c>
      <c r="J63" s="172"/>
      <c r="K63" s="167"/>
      <c r="L63" s="172"/>
      <c r="M63" s="168"/>
      <c r="N63" s="291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11" customFormat="1" ht="10.199999999999999">
      <c r="A64" s="164" t="s">
        <v>126</v>
      </c>
      <c r="B64" s="186">
        <v>1.36</v>
      </c>
      <c r="C64" s="184">
        <f t="shared" si="5"/>
        <v>-9.3333333333333268E-2</v>
      </c>
      <c r="D64" s="186">
        <v>1.5</v>
      </c>
      <c r="E64" s="186">
        <v>11.66</v>
      </c>
      <c r="F64" s="184">
        <f t="shared" si="6"/>
        <v>-4.4262295081967107E-2</v>
      </c>
      <c r="G64" s="186">
        <v>12.2</v>
      </c>
      <c r="H64" s="184">
        <f t="shared" si="6"/>
        <v>3.918228279386704E-2</v>
      </c>
      <c r="I64" s="186">
        <v>11.74</v>
      </c>
      <c r="J64" s="166"/>
      <c r="K64" s="174"/>
      <c r="L64" s="166"/>
      <c r="M64" s="173"/>
      <c r="N64" s="291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s="11" customFormat="1" ht="10.199999999999999">
      <c r="A65" s="164" t="s">
        <v>127</v>
      </c>
      <c r="B65" s="186">
        <v>1.1200000000000001</v>
      </c>
      <c r="C65" s="184">
        <f t="shared" si="5"/>
        <v>0.40000000000000013</v>
      </c>
      <c r="D65" s="186">
        <v>0.8</v>
      </c>
      <c r="E65" s="186">
        <v>3.23</v>
      </c>
      <c r="F65" s="184">
        <f t="shared" si="6"/>
        <v>-0.35010060362173034</v>
      </c>
      <c r="G65" s="186">
        <v>4.97</v>
      </c>
      <c r="H65" s="184">
        <f t="shared" si="6"/>
        <v>-0.36768447837150131</v>
      </c>
      <c r="I65" s="186">
        <v>7.86</v>
      </c>
      <c r="J65" s="166"/>
      <c r="K65" s="174"/>
      <c r="L65" s="166"/>
      <c r="M65" s="173"/>
      <c r="N65" s="291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s="11" customFormat="1" ht="10.199999999999999">
      <c r="A66" s="171" t="s">
        <v>106</v>
      </c>
      <c r="B66" s="186">
        <f>B44</f>
        <v>14.38</v>
      </c>
      <c r="C66" s="184">
        <f t="shared" si="5"/>
        <v>-0.32709405708937767</v>
      </c>
      <c r="D66" s="186">
        <f>D44</f>
        <v>21.37</v>
      </c>
      <c r="E66" s="186">
        <f>E44</f>
        <v>128.81</v>
      </c>
      <c r="F66" s="184">
        <f t="shared" si="6"/>
        <v>-2.3648904722201158E-2</v>
      </c>
      <c r="G66" s="187">
        <f>G44</f>
        <v>131.93</v>
      </c>
      <c r="H66" s="184">
        <f t="shared" si="6"/>
        <v>-0.60772478591817314</v>
      </c>
      <c r="I66" s="187">
        <f>I44</f>
        <v>336.32</v>
      </c>
      <c r="J66" s="166"/>
      <c r="K66" s="176"/>
      <c r="L66" s="166"/>
      <c r="M66" s="173"/>
      <c r="N66" s="291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s="11" customFormat="1" ht="10.199999999999999">
      <c r="A67" s="171" t="s">
        <v>107</v>
      </c>
      <c r="B67" s="186">
        <f>B45</f>
        <v>244.21</v>
      </c>
      <c r="C67" s="184">
        <f t="shared" si="5"/>
        <v>1.3866400963175263E-2</v>
      </c>
      <c r="D67" s="186">
        <f>D45</f>
        <v>240.87</v>
      </c>
      <c r="E67" s="186">
        <f>E45</f>
        <v>1599.56</v>
      </c>
      <c r="F67" s="184">
        <f t="shared" si="6"/>
        <v>-4.8413387747331948E-2</v>
      </c>
      <c r="G67" s="187">
        <f>G45</f>
        <v>1680.94</v>
      </c>
      <c r="H67" s="184">
        <f t="shared" si="6"/>
        <v>3.1061767772802673E-2</v>
      </c>
      <c r="I67" s="187">
        <f>I45</f>
        <v>1630.3</v>
      </c>
      <c r="J67" s="166"/>
      <c r="K67" s="176"/>
      <c r="L67" s="166"/>
      <c r="M67" s="173"/>
      <c r="N67" s="291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s="3" customFormat="1" ht="10.199999999999999">
      <c r="A68" s="171" t="s">
        <v>128</v>
      </c>
      <c r="B68" s="186">
        <f>B46+B47+B48+B49+B50+B51+B52+B53+B54+B55</f>
        <v>270.07000000000005</v>
      </c>
      <c r="C68" s="184">
        <f t="shared" si="5"/>
        <v>-8.5283657917019307E-2</v>
      </c>
      <c r="D68" s="186">
        <f>D46+D47+D48+D49+D50+D51+D52+D53+D54+D55</f>
        <v>295.25</v>
      </c>
      <c r="E68" s="186">
        <f>E46+E47+E48+E49+E50+E51+E52+E53+E54+E55</f>
        <v>2390.0999999999995</v>
      </c>
      <c r="F68" s="184">
        <f t="shared" si="6"/>
        <v>0.24371663180242908</v>
      </c>
      <c r="G68" s="185">
        <f>G46+G47+G48+G49+G50+G51+G52+G53+G54+G55</f>
        <v>1921.7399999999996</v>
      </c>
      <c r="H68" s="184">
        <f t="shared" si="6"/>
        <v>-0.12703733987462551</v>
      </c>
      <c r="I68" s="185">
        <f>I46+I47+I48+I49+I50+I51+I52+I53+I54+I55</f>
        <v>2201.4</v>
      </c>
      <c r="J68" s="166"/>
      <c r="K68" s="170"/>
      <c r="L68" s="166"/>
      <c r="M68" s="177"/>
      <c r="N68" s="291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3" customFormat="1" ht="10.199999999999999">
      <c r="A69" s="171" t="s">
        <v>129</v>
      </c>
      <c r="B69" s="186">
        <f>B56+B57+B58+B59+B60+B61</f>
        <v>78.92</v>
      </c>
      <c r="C69" s="184">
        <f t="shared" si="5"/>
        <v>8.2430393635989585E-2</v>
      </c>
      <c r="D69" s="186">
        <f>D56+D57+D58+D59+D60+D61</f>
        <v>72.91</v>
      </c>
      <c r="E69" s="186">
        <f>E56+E57+E58+E59+E60+E61</f>
        <v>387.73000000000008</v>
      </c>
      <c r="F69" s="184">
        <f t="shared" si="6"/>
        <v>-1.9546856824963044E-2</v>
      </c>
      <c r="G69" s="185">
        <f>G56+G57+G58+G59+G60+G61</f>
        <v>395.46</v>
      </c>
      <c r="H69" s="184">
        <f t="shared" si="6"/>
        <v>2.6156001868285816E-2</v>
      </c>
      <c r="I69" s="185">
        <f>I56+I57+I58+I59+I60+I61</f>
        <v>385.38</v>
      </c>
      <c r="J69" s="166"/>
      <c r="K69" s="170"/>
      <c r="L69" s="166"/>
      <c r="M69" s="177"/>
      <c r="N69" s="291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11" customFormat="1" ht="10.199999999999999">
      <c r="A70" s="171" t="s">
        <v>130</v>
      </c>
      <c r="B70" s="186">
        <f>B62+B63+B64+B65</f>
        <v>3.12</v>
      </c>
      <c r="C70" s="184">
        <f t="shared" si="5"/>
        <v>-0.57951482479784366</v>
      </c>
      <c r="D70" s="186">
        <f>D62+D63+D64+D65</f>
        <v>7.419999999999999</v>
      </c>
      <c r="E70" s="186">
        <f>E62+E63+E64+E65</f>
        <v>28.930000000000003</v>
      </c>
      <c r="F70" s="184">
        <f t="shared" si="6"/>
        <v>-0.28971274245028222</v>
      </c>
      <c r="G70" s="185">
        <f>G62+G63+G64+G65</f>
        <v>40.729999999999997</v>
      </c>
      <c r="H70" s="184">
        <f t="shared" si="6"/>
        <v>1.9269269269269085E-2</v>
      </c>
      <c r="I70" s="185">
        <f>I62+I63+I64+I65</f>
        <v>39.96</v>
      </c>
      <c r="J70" s="166"/>
      <c r="K70" s="170"/>
      <c r="L70" s="166"/>
      <c r="M70" s="177"/>
      <c r="N70" s="291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s="157" customFormat="1" ht="10.199999999999999" customHeight="1">
      <c r="A71" s="162" t="s">
        <v>134</v>
      </c>
      <c r="B71" s="154">
        <f>SUM(B66:B70)</f>
        <v>610.70000000000005</v>
      </c>
      <c r="C71" s="243">
        <f t="shared" si="5"/>
        <v>-4.2519833181775213E-2</v>
      </c>
      <c r="D71" s="154">
        <f>SUM(D66:D70)</f>
        <v>637.81999999999994</v>
      </c>
      <c r="E71" s="154">
        <f>SUM(E66:E70)</f>
        <v>4535.13</v>
      </c>
      <c r="F71" s="243">
        <f t="shared" ref="F71:H71" si="7">IF((+E71/G71)&lt;0,"n.m.",IF(E71&lt;0,(+E71/G71-1)*-1,(+E71/G71-1)))</f>
        <v>8.7352546274096277E-2</v>
      </c>
      <c r="G71" s="154">
        <f>SUM(G66:G70)</f>
        <v>4170.7999999999993</v>
      </c>
      <c r="H71" s="243">
        <f t="shared" si="7"/>
        <v>-9.1993660414163347E-2</v>
      </c>
      <c r="I71" s="188">
        <f>SUM(I66:I70)</f>
        <v>4593.3600000000006</v>
      </c>
      <c r="J71" s="155">
        <f>(I71-K71)/K71</f>
        <v>-3.414400282605845E-2</v>
      </c>
      <c r="K71" s="188">
        <v>4755.74</v>
      </c>
      <c r="L71" s="155">
        <f>(K71-M71)/M71</f>
        <v>-2.5776543202289413E-2</v>
      </c>
      <c r="M71" s="188">
        <v>4881.57</v>
      </c>
      <c r="N71" s="291"/>
    </row>
    <row r="72" spans="1:24" ht="10.199999999999999" customHeight="1">
      <c r="A72" s="164"/>
      <c r="B72" s="171"/>
      <c r="C72" s="166"/>
      <c r="D72" s="171"/>
      <c r="E72" s="171"/>
      <c r="F72" s="166"/>
      <c r="G72" s="171"/>
      <c r="H72" s="160"/>
      <c r="I72" s="171"/>
      <c r="J72" s="160"/>
      <c r="K72" s="171"/>
      <c r="L72" s="156"/>
      <c r="M72" s="171"/>
    </row>
    <row r="73" spans="1:24" ht="10.199999999999999" customHeight="1">
      <c r="A73" s="189" t="s">
        <v>5</v>
      </c>
      <c r="B73" s="190"/>
      <c r="C73" s="166"/>
      <c r="D73" s="190"/>
      <c r="E73" s="190"/>
      <c r="F73" s="160"/>
      <c r="G73" s="190"/>
      <c r="H73" s="160"/>
      <c r="I73" s="190"/>
      <c r="J73" s="160"/>
      <c r="K73" s="190"/>
      <c r="L73" s="160"/>
      <c r="M73" s="190"/>
    </row>
    <row r="74" spans="1:24" s="3" customFormat="1" ht="10.199999999999999">
      <c r="A74" s="164" t="s">
        <v>106</v>
      </c>
      <c r="B74" s="183">
        <v>101.47</v>
      </c>
      <c r="C74" s="184">
        <f t="shared" ref="C74:C101" si="8">IF((+B74/D74)&lt;0,"n.m.",IF(B74&lt;0,(+B74/D74-1)*-1,(+B74/D74-1)))</f>
        <v>-0.15102074966532797</v>
      </c>
      <c r="D74" s="183">
        <v>119.52</v>
      </c>
      <c r="E74" s="183">
        <v>82.3</v>
      </c>
      <c r="F74" s="184">
        <f t="shared" ref="F74:H100" si="9">IF((+E74/G74)&lt;0,"n.m.",IF(E74&lt;0,(+E74/G74-1)*-1,(+E74/G74-1)))</f>
        <v>-0.13249710129651104</v>
      </c>
      <c r="G74" s="183">
        <v>94.87</v>
      </c>
      <c r="H74" s="184">
        <f t="shared" si="9"/>
        <v>-0.47862167509342701</v>
      </c>
      <c r="I74" s="183">
        <v>181.95999999999998</v>
      </c>
      <c r="J74" s="166"/>
      <c r="K74" s="167"/>
      <c r="L74" s="166"/>
      <c r="M74" s="168"/>
      <c r="N74" s="291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3" customFormat="1" ht="10.199999999999999">
      <c r="A75" s="164" t="s">
        <v>107</v>
      </c>
      <c r="B75" s="183">
        <v>1276.4100000000001</v>
      </c>
      <c r="C75" s="184">
        <f t="shared" si="8"/>
        <v>0.16349300396517941</v>
      </c>
      <c r="D75" s="183">
        <v>1097.05</v>
      </c>
      <c r="E75" s="183">
        <v>1206.51</v>
      </c>
      <c r="F75" s="184">
        <f t="shared" si="9"/>
        <v>0.18593404433085947</v>
      </c>
      <c r="G75" s="183">
        <v>1017.35</v>
      </c>
      <c r="H75" s="184">
        <f t="shared" si="9"/>
        <v>-6.4858306293719248E-2</v>
      </c>
      <c r="I75" s="183">
        <v>1087.9100000000001</v>
      </c>
      <c r="J75" s="166"/>
      <c r="K75" s="167"/>
      <c r="L75" s="166"/>
      <c r="M75" s="168"/>
      <c r="N75" s="291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3" customFormat="1" ht="10.199999999999999">
      <c r="A76" s="164" t="s">
        <v>108</v>
      </c>
      <c r="B76" s="183">
        <v>3.82</v>
      </c>
      <c r="C76" s="184">
        <f t="shared" si="8"/>
        <v>-0.64662349676225728</v>
      </c>
      <c r="D76" s="183">
        <v>10.81</v>
      </c>
      <c r="E76" s="183">
        <v>4.54</v>
      </c>
      <c r="F76" s="184">
        <f t="shared" si="9"/>
        <v>-0.73787528868360275</v>
      </c>
      <c r="G76" s="183">
        <v>17.32</v>
      </c>
      <c r="H76" s="184">
        <f t="shared" si="9"/>
        <v>-0.67565543071161049</v>
      </c>
      <c r="I76" s="183">
        <v>53.4</v>
      </c>
      <c r="J76" s="166"/>
      <c r="K76" s="167"/>
      <c r="L76" s="166"/>
      <c r="M76" s="168"/>
      <c r="N76" s="291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3" customFormat="1" ht="10.199999999999999">
      <c r="A77" s="164" t="s">
        <v>109</v>
      </c>
      <c r="B77" s="183">
        <v>286.02999999999997</v>
      </c>
      <c r="C77" s="184">
        <f t="shared" si="8"/>
        <v>-0.22240648107872996</v>
      </c>
      <c r="D77" s="183">
        <v>367.84</v>
      </c>
      <c r="E77" s="183">
        <v>313.13</v>
      </c>
      <c r="F77" s="184">
        <f t="shared" si="9"/>
        <v>-6.7121491985938198E-2</v>
      </c>
      <c r="G77" s="183">
        <v>335.66</v>
      </c>
      <c r="H77" s="184">
        <f t="shared" si="9"/>
        <v>-5.6737389349444944E-2</v>
      </c>
      <c r="I77" s="183">
        <v>355.85</v>
      </c>
      <c r="J77" s="166"/>
      <c r="K77" s="167"/>
      <c r="L77" s="166"/>
      <c r="M77" s="168"/>
      <c r="N77" s="291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11" customFormat="1" ht="10.199999999999999">
      <c r="A78" s="164" t="s">
        <v>110</v>
      </c>
      <c r="B78" s="183">
        <v>172.78</v>
      </c>
      <c r="C78" s="184">
        <f t="shared" si="8"/>
        <v>-0.63548523206751062</v>
      </c>
      <c r="D78" s="183">
        <v>474</v>
      </c>
      <c r="E78" s="183">
        <v>119.03</v>
      </c>
      <c r="F78" s="184">
        <f t="shared" si="9"/>
        <v>-0.75486541590295941</v>
      </c>
      <c r="G78" s="183">
        <v>485.57</v>
      </c>
      <c r="H78" s="184">
        <f t="shared" si="9"/>
        <v>-0.13315838331905161</v>
      </c>
      <c r="I78" s="183">
        <v>560.16</v>
      </c>
      <c r="J78" s="166"/>
      <c r="K78" s="167"/>
      <c r="L78" s="166"/>
      <c r="M78" s="168"/>
      <c r="N78" s="291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s="11" customFormat="1" ht="10.199999999999999">
      <c r="A79" s="164" t="s">
        <v>111</v>
      </c>
      <c r="B79" s="183">
        <v>316.25</v>
      </c>
      <c r="C79" s="184">
        <f t="shared" si="8"/>
        <v>-0.42920314051078423</v>
      </c>
      <c r="D79" s="183">
        <v>554.04999999999995</v>
      </c>
      <c r="E79" s="183">
        <v>316.49</v>
      </c>
      <c r="F79" s="184">
        <f t="shared" si="9"/>
        <v>-0.48787197203838251</v>
      </c>
      <c r="G79" s="183">
        <v>617.99</v>
      </c>
      <c r="H79" s="184">
        <f t="shared" si="9"/>
        <v>1.9127115049252956</v>
      </c>
      <c r="I79" s="183">
        <v>212.17000000000002</v>
      </c>
      <c r="J79" s="166"/>
      <c r="K79" s="167"/>
      <c r="L79" s="166"/>
      <c r="M79" s="168"/>
      <c r="N79" s="291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s="11" customFormat="1" ht="10.199999999999999">
      <c r="A80" s="164" t="s">
        <v>112</v>
      </c>
      <c r="B80" s="183">
        <v>327.95</v>
      </c>
      <c r="C80" s="184">
        <f t="shared" si="8"/>
        <v>-0.45081720142005488</v>
      </c>
      <c r="D80" s="183">
        <v>597.16</v>
      </c>
      <c r="E80" s="183">
        <v>342.74</v>
      </c>
      <c r="F80" s="184">
        <f t="shared" si="9"/>
        <v>-0.34910838065214511</v>
      </c>
      <c r="G80" s="183">
        <v>526.57000000000005</v>
      </c>
      <c r="H80" s="184">
        <f t="shared" si="9"/>
        <v>0.20078901760467049</v>
      </c>
      <c r="I80" s="183">
        <v>438.52</v>
      </c>
      <c r="J80" s="166"/>
      <c r="K80" s="167"/>
      <c r="L80" s="166"/>
      <c r="M80" s="168"/>
      <c r="N80" s="291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s="11" customFormat="1" ht="10.199999999999999">
      <c r="A81" s="164" t="s">
        <v>113</v>
      </c>
      <c r="B81" s="183">
        <v>383.83</v>
      </c>
      <c r="C81" s="184">
        <f t="shared" si="8"/>
        <v>-0.22989105355029005</v>
      </c>
      <c r="D81" s="183">
        <v>498.41</v>
      </c>
      <c r="E81" s="183">
        <v>385.47</v>
      </c>
      <c r="F81" s="184">
        <f t="shared" si="9"/>
        <v>-0.21359936348613739</v>
      </c>
      <c r="G81" s="183">
        <v>490.17</v>
      </c>
      <c r="H81" s="184">
        <f t="shared" si="9"/>
        <v>0.63422684536907381</v>
      </c>
      <c r="I81" s="183">
        <v>299.94</v>
      </c>
      <c r="J81" s="166"/>
      <c r="K81" s="167"/>
      <c r="L81" s="166"/>
      <c r="M81" s="168"/>
      <c r="N81" s="291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s="11" customFormat="1" ht="10.199999999999999">
      <c r="A82" s="164" t="s">
        <v>114</v>
      </c>
      <c r="B82" s="183">
        <v>51.5</v>
      </c>
      <c r="C82" s="184">
        <f t="shared" si="8"/>
        <v>-6.7502410800386325E-3</v>
      </c>
      <c r="D82" s="183">
        <v>51.85</v>
      </c>
      <c r="E82" s="183">
        <v>52.97</v>
      </c>
      <c r="F82" s="184">
        <f t="shared" si="9"/>
        <v>9.7823834196891113E-2</v>
      </c>
      <c r="G82" s="183">
        <v>48.25</v>
      </c>
      <c r="H82" s="184">
        <f t="shared" si="9"/>
        <v>-0.35468770897418744</v>
      </c>
      <c r="I82" s="183">
        <v>74.77</v>
      </c>
      <c r="J82" s="166"/>
      <c r="K82" s="167"/>
      <c r="L82" s="166"/>
      <c r="M82" s="168"/>
      <c r="N82" s="291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s="11" customFormat="1" ht="10.199999999999999">
      <c r="A83" s="164" t="s">
        <v>115</v>
      </c>
      <c r="B83" s="183">
        <v>57.230000000000004</v>
      </c>
      <c r="C83" s="184">
        <f t="shared" si="8"/>
        <v>-0.40896416399876068</v>
      </c>
      <c r="D83" s="183">
        <v>96.83</v>
      </c>
      <c r="E83" s="183">
        <v>56.71</v>
      </c>
      <c r="F83" s="184">
        <f t="shared" si="9"/>
        <v>-0.49756356870736251</v>
      </c>
      <c r="G83" s="183">
        <v>112.87</v>
      </c>
      <c r="H83" s="184">
        <f t="shared" si="9"/>
        <v>-0.24938485070160266</v>
      </c>
      <c r="I83" s="183">
        <v>150.37</v>
      </c>
      <c r="J83" s="166"/>
      <c r="K83" s="167"/>
      <c r="L83" s="166"/>
      <c r="M83" s="168"/>
      <c r="N83" s="291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s="11" customFormat="1" ht="10.199999999999999">
      <c r="A84" s="164" t="s">
        <v>116</v>
      </c>
      <c r="B84" s="183">
        <v>128.56</v>
      </c>
      <c r="C84" s="184">
        <f t="shared" si="8"/>
        <v>2.7645680819912153</v>
      </c>
      <c r="D84" s="183">
        <v>34.15</v>
      </c>
      <c r="E84" s="183">
        <v>91.98</v>
      </c>
      <c r="F84" s="184">
        <f t="shared" si="9"/>
        <v>2.8372966207759704</v>
      </c>
      <c r="G84" s="183">
        <v>23.97</v>
      </c>
      <c r="H84" s="184">
        <f t="shared" si="9"/>
        <v>0.11957029425502097</v>
      </c>
      <c r="I84" s="183">
        <v>21.41</v>
      </c>
      <c r="J84" s="166"/>
      <c r="K84" s="167"/>
      <c r="L84" s="166"/>
      <c r="M84" s="168"/>
      <c r="N84" s="291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s="11" customFormat="1" ht="10.199999999999999">
      <c r="A85" s="164" t="s">
        <v>117</v>
      </c>
      <c r="B85" s="183">
        <v>41.69</v>
      </c>
      <c r="C85" s="184">
        <f t="shared" si="8"/>
        <v>1.7036316472114135</v>
      </c>
      <c r="D85" s="183">
        <v>15.42</v>
      </c>
      <c r="E85" s="183">
        <v>26.77</v>
      </c>
      <c r="F85" s="184">
        <f t="shared" si="9"/>
        <v>0.869413407821229</v>
      </c>
      <c r="G85" s="183">
        <v>14.32</v>
      </c>
      <c r="H85" s="184">
        <f t="shared" si="9"/>
        <v>-0.58933180384284478</v>
      </c>
      <c r="I85" s="183">
        <v>34.869999999999997</v>
      </c>
      <c r="J85" s="166"/>
      <c r="K85" s="167"/>
      <c r="L85" s="166"/>
      <c r="M85" s="168"/>
      <c r="N85" s="291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s="11" customFormat="1" ht="10.199999999999999">
      <c r="A86" s="164" t="s">
        <v>118</v>
      </c>
      <c r="B86" s="183">
        <v>329.65</v>
      </c>
      <c r="C86" s="184">
        <f t="shared" si="8"/>
        <v>0.56202615617892349</v>
      </c>
      <c r="D86" s="183">
        <v>211.04</v>
      </c>
      <c r="E86" s="183">
        <v>265.76</v>
      </c>
      <c r="F86" s="184">
        <f t="shared" si="9"/>
        <v>0.82740837516330856</v>
      </c>
      <c r="G86" s="183">
        <v>145.43</v>
      </c>
      <c r="H86" s="184">
        <f t="shared" si="9"/>
        <v>-8.1185241344452819E-2</v>
      </c>
      <c r="I86" s="185">
        <v>158.28</v>
      </c>
      <c r="J86" s="166"/>
      <c r="K86" s="167"/>
      <c r="L86" s="166"/>
      <c r="M86" s="168"/>
      <c r="N86" s="291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s="11" customFormat="1" ht="10.199999999999999">
      <c r="A87" s="164" t="s">
        <v>119</v>
      </c>
      <c r="B87" s="185">
        <v>14.77</v>
      </c>
      <c r="C87" s="184">
        <f t="shared" si="8"/>
        <v>-6.5189873417721533E-2</v>
      </c>
      <c r="D87" s="185">
        <v>15.8</v>
      </c>
      <c r="E87" s="185">
        <v>15.16</v>
      </c>
      <c r="F87" s="184">
        <f t="shared" si="9"/>
        <v>-6.0718711276332105E-2</v>
      </c>
      <c r="G87" s="185">
        <v>16.14</v>
      </c>
      <c r="H87" s="184">
        <f t="shared" si="9"/>
        <v>1.7171717171717171</v>
      </c>
      <c r="I87" s="183">
        <v>5.94</v>
      </c>
      <c r="J87" s="166"/>
      <c r="K87" s="170"/>
      <c r="L87" s="166"/>
      <c r="M87" s="171"/>
      <c r="N87" s="291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s="11" customFormat="1" ht="10.199999999999999">
      <c r="A88" s="164" t="s">
        <v>120</v>
      </c>
      <c r="B88" s="183">
        <v>0</v>
      </c>
      <c r="C88" s="184"/>
      <c r="D88" s="183">
        <v>0</v>
      </c>
      <c r="E88" s="183">
        <v>0</v>
      </c>
      <c r="F88" s="184"/>
      <c r="G88" s="183">
        <v>0</v>
      </c>
      <c r="H88" s="184"/>
      <c r="I88" s="183">
        <v>0</v>
      </c>
      <c r="J88" s="166"/>
      <c r="K88" s="167"/>
      <c r="L88" s="166"/>
      <c r="M88" s="168"/>
      <c r="N88" s="291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s="3" customFormat="1" ht="10.199999999999999">
      <c r="A89" s="164" t="s">
        <v>121</v>
      </c>
      <c r="B89" s="183">
        <v>1.94</v>
      </c>
      <c r="C89" s="184">
        <f t="shared" si="8"/>
        <v>-0.39563862928348914</v>
      </c>
      <c r="D89" s="183">
        <v>3.21</v>
      </c>
      <c r="E89" s="183">
        <v>2.21</v>
      </c>
      <c r="F89" s="184">
        <f t="shared" si="9"/>
        <v>0.12182741116751261</v>
      </c>
      <c r="G89" s="183">
        <v>1.97</v>
      </c>
      <c r="H89" s="184">
        <f t="shared" si="9"/>
        <v>0.85849056603773577</v>
      </c>
      <c r="I89" s="183">
        <v>1.06</v>
      </c>
      <c r="J89" s="166"/>
      <c r="K89" s="167"/>
      <c r="L89" s="166"/>
      <c r="M89" s="168"/>
      <c r="N89" s="291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11" customFormat="1" ht="10.199999999999999">
      <c r="A90" s="164" t="s">
        <v>122</v>
      </c>
      <c r="B90" s="183">
        <v>0</v>
      </c>
      <c r="C90" s="184"/>
      <c r="D90" s="183">
        <v>0</v>
      </c>
      <c r="E90" s="183">
        <v>0</v>
      </c>
      <c r="F90" s="184"/>
      <c r="G90" s="183">
        <v>0</v>
      </c>
      <c r="H90" s="184"/>
      <c r="I90" s="183">
        <v>0</v>
      </c>
      <c r="J90" s="166"/>
      <c r="K90" s="167"/>
      <c r="L90" s="166"/>
      <c r="M90" s="168"/>
      <c r="N90" s="291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s="11" customFormat="1" ht="10.199999999999999">
      <c r="A91" s="164" t="s">
        <v>123</v>
      </c>
      <c r="B91" s="183">
        <v>170.37</v>
      </c>
      <c r="C91" s="184">
        <f t="shared" si="8"/>
        <v>4.965806173371945E-2</v>
      </c>
      <c r="D91" s="183">
        <v>162.31</v>
      </c>
      <c r="E91" s="183">
        <v>184.84</v>
      </c>
      <c r="F91" s="184">
        <f t="shared" si="9"/>
        <v>0.12624908603460883</v>
      </c>
      <c r="G91" s="183">
        <v>164.12</v>
      </c>
      <c r="H91" s="184">
        <f t="shared" si="9"/>
        <v>0.43725369997372798</v>
      </c>
      <c r="I91" s="183">
        <v>114.19</v>
      </c>
      <c r="J91" s="166"/>
      <c r="K91" s="167"/>
      <c r="L91" s="166"/>
      <c r="M91" s="168"/>
      <c r="N91" s="291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s="11" customFormat="1" ht="10.199999999999999">
      <c r="A92" s="164" t="s">
        <v>124</v>
      </c>
      <c r="B92" s="183">
        <v>0.13</v>
      </c>
      <c r="C92" s="184">
        <f t="shared" si="8"/>
        <v>-0.97899838449111465</v>
      </c>
      <c r="D92" s="183">
        <v>6.19</v>
      </c>
      <c r="E92" s="183">
        <v>0.66</v>
      </c>
      <c r="F92" s="184">
        <f t="shared" si="9"/>
        <v>-0.93843283582089554</v>
      </c>
      <c r="G92" s="183">
        <v>10.72</v>
      </c>
      <c r="H92" s="184">
        <f t="shared" si="9"/>
        <v>-0.61782531194295898</v>
      </c>
      <c r="I92" s="183">
        <v>28.05</v>
      </c>
      <c r="J92" s="166"/>
      <c r="K92" s="167"/>
      <c r="L92" s="166"/>
      <c r="M92" s="168"/>
      <c r="N92" s="291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s="11" customFormat="1" ht="10.199999999999999">
      <c r="A93" s="164" t="s">
        <v>125</v>
      </c>
      <c r="B93" s="183">
        <v>0.23</v>
      </c>
      <c r="C93" s="184">
        <f t="shared" si="8"/>
        <v>6.666666666666667</v>
      </c>
      <c r="D93" s="183">
        <v>0.03</v>
      </c>
      <c r="E93" s="183">
        <v>0.41</v>
      </c>
      <c r="F93" s="184">
        <f t="shared" si="9"/>
        <v>3.0999999999999996</v>
      </c>
      <c r="G93" s="183">
        <v>0.1</v>
      </c>
      <c r="H93" s="184">
        <f t="shared" si="9"/>
        <v>-0.92</v>
      </c>
      <c r="I93" s="186">
        <v>1.25</v>
      </c>
      <c r="J93" s="172"/>
      <c r="K93" s="167"/>
      <c r="L93" s="172"/>
      <c r="M93" s="168"/>
      <c r="N93" s="291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s="11" customFormat="1" ht="10.199999999999999">
      <c r="A94" s="164" t="s">
        <v>126</v>
      </c>
      <c r="B94" s="186">
        <v>2.71</v>
      </c>
      <c r="C94" s="184">
        <f t="shared" si="8"/>
        <v>-0.6267217630853994</v>
      </c>
      <c r="D94" s="186">
        <v>7.26</v>
      </c>
      <c r="E94" s="186">
        <v>3.02</v>
      </c>
      <c r="F94" s="184">
        <f t="shared" si="9"/>
        <v>-0.66105499438832771</v>
      </c>
      <c r="G94" s="186">
        <v>8.91</v>
      </c>
      <c r="H94" s="184">
        <f t="shared" si="9"/>
        <v>-0.59053308823529416</v>
      </c>
      <c r="I94" s="186">
        <v>21.76</v>
      </c>
      <c r="J94" s="166"/>
      <c r="K94" s="174"/>
      <c r="L94" s="166"/>
      <c r="M94" s="173"/>
      <c r="N94" s="291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s="11" customFormat="1" ht="10.199999999999999">
      <c r="A95" s="164" t="s">
        <v>127</v>
      </c>
      <c r="B95" s="186">
        <v>5.66</v>
      </c>
      <c r="C95" s="184">
        <f t="shared" si="8"/>
        <v>-0.37596471885336269</v>
      </c>
      <c r="D95" s="186">
        <v>9.07</v>
      </c>
      <c r="E95" s="186">
        <v>6.75</v>
      </c>
      <c r="F95" s="184">
        <f t="shared" si="9"/>
        <v>-0.32567432567432564</v>
      </c>
      <c r="G95" s="186">
        <v>10.01</v>
      </c>
      <c r="H95" s="184">
        <f t="shared" si="9"/>
        <v>1.7651933701657456</v>
      </c>
      <c r="I95" s="187">
        <v>3.62</v>
      </c>
      <c r="J95" s="166"/>
      <c r="K95" s="174"/>
      <c r="L95" s="166"/>
      <c r="M95" s="173"/>
      <c r="N95" s="291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s="11" customFormat="1" ht="10.199999999999999">
      <c r="A96" s="171" t="s">
        <v>106</v>
      </c>
      <c r="B96" s="186">
        <f>B74</f>
        <v>101.47</v>
      </c>
      <c r="C96" s="184">
        <f t="shared" si="8"/>
        <v>-0.15102074966532797</v>
      </c>
      <c r="D96" s="186">
        <f>D74</f>
        <v>119.52</v>
      </c>
      <c r="E96" s="186">
        <f>E74</f>
        <v>82.3</v>
      </c>
      <c r="F96" s="184">
        <f t="shared" si="9"/>
        <v>-0.13249710129651104</v>
      </c>
      <c r="G96" s="187">
        <f>G74</f>
        <v>94.87</v>
      </c>
      <c r="H96" s="184">
        <f t="shared" si="9"/>
        <v>-0.47862167509342701</v>
      </c>
      <c r="I96" s="187">
        <f>I74</f>
        <v>181.95999999999998</v>
      </c>
      <c r="J96" s="166"/>
      <c r="K96" s="176"/>
      <c r="L96" s="166"/>
      <c r="M96" s="173"/>
      <c r="N96" s="291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s="11" customFormat="1" ht="10.199999999999999">
      <c r="A97" s="171" t="s">
        <v>107</v>
      </c>
      <c r="B97" s="186">
        <f>B75</f>
        <v>1276.4100000000001</v>
      </c>
      <c r="C97" s="184">
        <f t="shared" si="8"/>
        <v>0.16349300396517941</v>
      </c>
      <c r="D97" s="186">
        <f>D75</f>
        <v>1097.05</v>
      </c>
      <c r="E97" s="186">
        <f>E75</f>
        <v>1206.51</v>
      </c>
      <c r="F97" s="184">
        <f t="shared" si="9"/>
        <v>0.18593404433085947</v>
      </c>
      <c r="G97" s="187">
        <f>G75</f>
        <v>1017.35</v>
      </c>
      <c r="H97" s="184">
        <f t="shared" si="9"/>
        <v>-6.4858306293719248E-2</v>
      </c>
      <c r="I97" s="187">
        <f>I75</f>
        <v>1087.9100000000001</v>
      </c>
      <c r="J97" s="166"/>
      <c r="K97" s="176"/>
      <c r="L97" s="166"/>
      <c r="M97" s="173"/>
      <c r="N97" s="291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s="3" customFormat="1" ht="10.199999999999999">
      <c r="A98" s="171" t="s">
        <v>128</v>
      </c>
      <c r="B98" s="186">
        <f>B76+B77+B78+B79+B80+B81+B82+B83+B84+B85</f>
        <v>1769.6399999999999</v>
      </c>
      <c r="C98" s="184">
        <f t="shared" si="8"/>
        <v>-0.34470398293661952</v>
      </c>
      <c r="D98" s="186">
        <f>D76+D77+D78+D79+D80+D81+D82+D83+D84+D85</f>
        <v>2700.5199999999995</v>
      </c>
      <c r="E98" s="186">
        <f>E76+E77+E78+E79+E80+E81+E82+E83+E84+E85</f>
        <v>1709.8300000000002</v>
      </c>
      <c r="F98" s="184">
        <f t="shared" si="9"/>
        <v>-0.36025876551339653</v>
      </c>
      <c r="G98" s="185">
        <f>G76+G77+G78+G79+G80+G81+G82+G83+G84+G85</f>
        <v>2672.69</v>
      </c>
      <c r="H98" s="184">
        <f t="shared" si="9"/>
        <v>0.21405340092484115</v>
      </c>
      <c r="I98" s="185">
        <f>I76+I77+I78+I79+I80+I81+I82+I83+I84+I85</f>
        <v>2201.4599999999996</v>
      </c>
      <c r="J98" s="166"/>
      <c r="K98" s="170"/>
      <c r="L98" s="166"/>
      <c r="M98" s="177"/>
      <c r="N98" s="291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3" customFormat="1" ht="10.199999999999999">
      <c r="A99" s="171" t="s">
        <v>129</v>
      </c>
      <c r="B99" s="186">
        <f>B86+B87+B88+B89+B90+B91</f>
        <v>516.73</v>
      </c>
      <c r="C99" s="184">
        <f t="shared" si="8"/>
        <v>0.31697930472015501</v>
      </c>
      <c r="D99" s="186">
        <f>D86+D87+D88+D89+D90+D91</f>
        <v>392.36</v>
      </c>
      <c r="E99" s="186">
        <f>E86+E87+E88+E89+E90+E91</f>
        <v>467.97</v>
      </c>
      <c r="F99" s="184">
        <f t="shared" si="9"/>
        <v>0.42821827504120136</v>
      </c>
      <c r="G99" s="264">
        <f>G86+G87+G88+G89+G90+G91</f>
        <v>327.65999999999997</v>
      </c>
      <c r="H99" s="184">
        <f t="shared" si="9"/>
        <v>0.17243353490535629</v>
      </c>
      <c r="I99" s="264">
        <f>I86+I87+I88+I89+I90+I91</f>
        <v>279.47000000000003</v>
      </c>
      <c r="J99" s="166"/>
      <c r="K99" s="170"/>
      <c r="L99" s="166"/>
      <c r="M99" s="177"/>
      <c r="N99" s="291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11" customFormat="1" ht="10.199999999999999">
      <c r="A100" s="171" t="s">
        <v>130</v>
      </c>
      <c r="B100" s="186">
        <f>B92+B93+B94+B95</f>
        <v>8.73</v>
      </c>
      <c r="C100" s="184">
        <f t="shared" si="8"/>
        <v>-0.61286031042128597</v>
      </c>
      <c r="D100" s="186">
        <f>D92+D93+D94+D95</f>
        <v>22.55</v>
      </c>
      <c r="E100" s="186">
        <f>E92+E93+E94+E95</f>
        <v>10.84</v>
      </c>
      <c r="F100" s="266">
        <f t="shared" si="9"/>
        <v>-0.63550773369199731</v>
      </c>
      <c r="G100" s="265">
        <f>G92+G93+G94+G95</f>
        <v>29.740000000000002</v>
      </c>
      <c r="H100" s="266">
        <f t="shared" si="9"/>
        <v>-0.4561082662765179</v>
      </c>
      <c r="I100" s="265">
        <f>I92+I93+I94+I95</f>
        <v>54.68</v>
      </c>
      <c r="J100" s="166"/>
      <c r="K100" s="170"/>
      <c r="L100" s="166"/>
      <c r="M100" s="177"/>
      <c r="N100" s="291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s="157" customFormat="1" ht="10.199999999999999" customHeight="1">
      <c r="A101" s="153" t="s">
        <v>135</v>
      </c>
      <c r="B101" s="154">
        <f>SUM(B96:B100)</f>
        <v>3672.98</v>
      </c>
      <c r="C101" s="243">
        <f t="shared" si="8"/>
        <v>-0.15212834718374868</v>
      </c>
      <c r="D101" s="154">
        <f>SUM(D96:D100)</f>
        <v>4331.9999999999991</v>
      </c>
      <c r="E101" s="154">
        <f>SUM(E96:E100)</f>
        <v>3477.4500000000007</v>
      </c>
      <c r="F101" s="267">
        <f t="shared" ref="F101:H101" si="10">IF((+E101/G101)&lt;0,"n.m.",IF(E101&lt;0,(+E101/G101-1)*-1,(+E101/G101-1)))</f>
        <v>-0.16050464595841418</v>
      </c>
      <c r="G101" s="154">
        <f>SUM(G96:G100)</f>
        <v>4142.3099999999995</v>
      </c>
      <c r="H101" s="267">
        <f t="shared" si="10"/>
        <v>8.8511830307871575E-2</v>
      </c>
      <c r="I101" s="154">
        <f>SUM(I96:I100)</f>
        <v>3805.48</v>
      </c>
      <c r="J101" s="155">
        <f>(I101-K101)/K101</f>
        <v>-0.12034802548241839</v>
      </c>
      <c r="K101" s="154">
        <v>4326.12</v>
      </c>
      <c r="L101" s="155">
        <f>(K101-M101)/M101</f>
        <v>-6.897286408801287E-2</v>
      </c>
      <c r="M101" s="154">
        <v>4646.6100000000015</v>
      </c>
      <c r="N101" s="29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4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C101" sqref="C101"/>
    </sheetView>
  </sheetViews>
  <sheetFormatPr baseColWidth="10" defaultColWidth="20.6640625" defaultRowHeight="12" customHeight="1" outlineLevelRow="1" outlineLevelCol="1"/>
  <cols>
    <col min="1" max="1" width="20.6640625" style="103" customWidth="1"/>
    <col min="2" max="7" width="10.88671875" style="60" customWidth="1"/>
    <col min="8" max="10" width="10.88671875" style="60" hidden="1" customWidth="1" outlineLevel="1"/>
    <col min="11" max="13" width="10.88671875" style="104" hidden="1" customWidth="1" outlineLevel="1"/>
    <col min="14" max="14" width="20.6640625" style="103" collapsed="1"/>
    <col min="15" max="16384" width="20.6640625" style="103"/>
  </cols>
  <sheetData>
    <row r="1" spans="1:24" s="102" customFormat="1" ht="24.75" customHeight="1">
      <c r="A1" s="57" t="s">
        <v>142</v>
      </c>
      <c r="B1" s="1" t="s">
        <v>151</v>
      </c>
      <c r="C1" s="1" t="s">
        <v>152</v>
      </c>
      <c r="D1" s="1" t="s">
        <v>150</v>
      </c>
      <c r="E1" s="1">
        <v>2015</v>
      </c>
      <c r="F1" s="1" t="s">
        <v>153</v>
      </c>
      <c r="G1" s="1">
        <v>2014</v>
      </c>
      <c r="H1" s="1" t="s">
        <v>1</v>
      </c>
      <c r="I1" s="1">
        <v>2013</v>
      </c>
      <c r="J1" s="1" t="s">
        <v>2</v>
      </c>
      <c r="K1" s="1">
        <v>2012</v>
      </c>
      <c r="L1" s="1" t="s">
        <v>3</v>
      </c>
      <c r="M1" s="1">
        <v>2011</v>
      </c>
    </row>
    <row r="2" spans="1:24" ht="3" hidden="1" customHeight="1" outlineLevel="1"/>
    <row r="3" spans="1:24" s="109" customFormat="1" ht="10.199999999999999" customHeight="1" collapsed="1">
      <c r="A3" s="105" t="s">
        <v>4</v>
      </c>
      <c r="B3" s="106">
        <f>B71</f>
        <v>623.64</v>
      </c>
      <c r="C3" s="242">
        <f t="shared" ref="C3:C7" si="0">IF((+B3/D3)&lt;0,"n.m.",IF(B3&lt;0,(+B3/D3-1)*-1,(+B3/D3-1)))</f>
        <v>-8.7565289909142807E-2</v>
      </c>
      <c r="D3" s="106">
        <f>D71</f>
        <v>683.49</v>
      </c>
      <c r="E3" s="106">
        <f>E71</f>
        <v>3250.1099999999997</v>
      </c>
      <c r="F3" s="242">
        <f t="shared" ref="F3:H7" si="1">IF((+E3/G3)&lt;0,"n.m.",IF(E3&lt;0,(+E3/G3-1)*-1,(+E3/G3-1)))</f>
        <v>9.4261549960607871E-2</v>
      </c>
      <c r="G3" s="106">
        <f>G71</f>
        <v>2970.14</v>
      </c>
      <c r="H3" s="242">
        <f t="shared" si="1"/>
        <v>5.2341793006685844E-2</v>
      </c>
      <c r="I3" s="106">
        <f>I71</f>
        <v>2822.41</v>
      </c>
      <c r="J3" s="108">
        <f>(I3-K3)/K3</f>
        <v>-3.5027317546822694E-2</v>
      </c>
      <c r="K3" s="106">
        <v>2924.8599999999997</v>
      </c>
      <c r="L3" s="108">
        <v>1.5735097497872941E-2</v>
      </c>
      <c r="M3" s="106">
        <v>2879.5499999999997</v>
      </c>
    </row>
    <row r="4" spans="1:24" s="109" customFormat="1" ht="10.199999999999999" customHeight="1">
      <c r="A4" s="105" t="s">
        <v>5</v>
      </c>
      <c r="B4" s="106">
        <f>B101</f>
        <v>4090.52</v>
      </c>
      <c r="C4" s="242">
        <f t="shared" si="0"/>
        <v>-0.15772263976114487</v>
      </c>
      <c r="D4" s="106">
        <f>D101</f>
        <v>4856.5</v>
      </c>
      <c r="E4" s="106">
        <f>E101</f>
        <v>4253.2299999999996</v>
      </c>
      <c r="F4" s="242">
        <f t="shared" si="1"/>
        <v>-6.9561450906871602E-2</v>
      </c>
      <c r="G4" s="106">
        <f>G101</f>
        <v>4571.21</v>
      </c>
      <c r="H4" s="242">
        <f t="shared" si="1"/>
        <v>8.7792817232549947E-2</v>
      </c>
      <c r="I4" s="106">
        <f>I101</f>
        <v>4202.28</v>
      </c>
      <c r="J4" s="108">
        <f>(I4-K4)/K4</f>
        <v>4.059846520715242E-2</v>
      </c>
      <c r="K4" s="106">
        <v>4038.33</v>
      </c>
      <c r="L4" s="108">
        <v>6.7708553661322446E-2</v>
      </c>
      <c r="M4" s="106">
        <v>3782.24</v>
      </c>
    </row>
    <row r="5" spans="1:24" s="109" customFormat="1" ht="10.199999999999999" customHeight="1">
      <c r="A5" s="105" t="s">
        <v>6</v>
      </c>
      <c r="B5" s="106">
        <v>578.91</v>
      </c>
      <c r="C5" s="242">
        <f t="shared" si="0"/>
        <v>-0.11444414700370964</v>
      </c>
      <c r="D5" s="106">
        <v>653.72500000000002</v>
      </c>
      <c r="E5" s="106">
        <v>2790.8809999999999</v>
      </c>
      <c r="F5" s="242">
        <f t="shared" si="1"/>
        <v>1.9151814813935575E-2</v>
      </c>
      <c r="G5" s="106">
        <v>2738.4349999999999</v>
      </c>
      <c r="H5" s="242">
        <f t="shared" si="1"/>
        <v>0.12022461476408042</v>
      </c>
      <c r="I5" s="106">
        <v>2444.5410000000002</v>
      </c>
      <c r="J5" s="108">
        <f>(I5-K5)/K5</f>
        <v>-8.1445778967508917E-2</v>
      </c>
      <c r="K5" s="106">
        <v>2661.2919999999999</v>
      </c>
      <c r="L5" s="108">
        <v>-6.3691542554613845E-2</v>
      </c>
      <c r="M5" s="106">
        <v>2842.3240000000001</v>
      </c>
    </row>
    <row r="6" spans="1:24" s="109" customFormat="1" ht="10.199999999999999" customHeight="1">
      <c r="A6" s="105" t="s">
        <v>137</v>
      </c>
      <c r="B6" s="106">
        <v>-24.95</v>
      </c>
      <c r="C6" s="242">
        <f t="shared" si="0"/>
        <v>-0.26688331471514171</v>
      </c>
      <c r="D6" s="106">
        <v>-19.693999999999999</v>
      </c>
      <c r="E6" s="106">
        <v>46.787999999999997</v>
      </c>
      <c r="F6" s="242">
        <f t="shared" si="1"/>
        <v>-0.49243336479317867</v>
      </c>
      <c r="G6" s="106">
        <v>92.180999999999997</v>
      </c>
      <c r="H6" s="242">
        <f t="shared" si="1"/>
        <v>0.32491555874955069</v>
      </c>
      <c r="I6" s="106">
        <v>69.575000000000003</v>
      </c>
      <c r="J6" s="108">
        <f>(I6-K6)/K6</f>
        <v>-0.45187618664964985</v>
      </c>
      <c r="K6" s="106">
        <v>126.93300000000001</v>
      </c>
      <c r="L6" s="108">
        <f>(K6/M6)-1</f>
        <v>1.1505319869883439</v>
      </c>
      <c r="M6" s="106">
        <v>59.024000000000001</v>
      </c>
    </row>
    <row r="7" spans="1:24" s="109" customFormat="1" ht="10.199999999999999" customHeight="1">
      <c r="A7" s="105" t="s">
        <v>147</v>
      </c>
      <c r="B7" s="106">
        <v>-24.95</v>
      </c>
      <c r="C7" s="242">
        <f t="shared" si="0"/>
        <v>-0.26688331471514171</v>
      </c>
      <c r="D7" s="106">
        <v>-19.693999999999999</v>
      </c>
      <c r="E7" s="106">
        <v>46.787999999999997</v>
      </c>
      <c r="F7" s="242">
        <f t="shared" si="1"/>
        <v>-0.49243336479317867</v>
      </c>
      <c r="G7" s="106">
        <v>92.180999999999997</v>
      </c>
      <c r="H7" s="242">
        <f t="shared" si="1"/>
        <v>0.32491555874955069</v>
      </c>
      <c r="I7" s="106">
        <v>69.575000000000003</v>
      </c>
      <c r="J7" s="108">
        <f>(I7-K7)/K7</f>
        <v>-0.45187618664964985</v>
      </c>
      <c r="K7" s="106">
        <v>126.93300000000001</v>
      </c>
      <c r="L7" s="108">
        <f>(K7/M7)-1</f>
        <v>1.1505319869883439</v>
      </c>
      <c r="M7" s="106">
        <v>59.024000000000001</v>
      </c>
    </row>
    <row r="8" spans="1:24" ht="10.199999999999999" customHeight="1">
      <c r="A8" s="110" t="s">
        <v>138</v>
      </c>
      <c r="B8" s="111">
        <f>B6/B5</f>
        <v>-4.3098236340709264E-2</v>
      </c>
      <c r="C8" s="108"/>
      <c r="D8" s="111">
        <f>D6/D5</f>
        <v>-3.0125817430876896E-2</v>
      </c>
      <c r="E8" s="111">
        <f>E6/E5</f>
        <v>1.6764598705570032E-2</v>
      </c>
      <c r="F8" s="108"/>
      <c r="G8" s="111">
        <f>G6/G5</f>
        <v>3.3661927341711598E-2</v>
      </c>
      <c r="H8" s="111"/>
      <c r="I8" s="111">
        <f>I6/I5</f>
        <v>2.8461375775656862E-2</v>
      </c>
      <c r="J8" s="111"/>
      <c r="K8" s="111">
        <f>K6/K5</f>
        <v>4.7696006300699062E-2</v>
      </c>
      <c r="L8" s="111"/>
      <c r="M8" s="111">
        <f>M6/M5</f>
        <v>2.0766105482696553E-2</v>
      </c>
    </row>
    <row r="9" spans="1:24" ht="10.199999999999999" customHeight="1">
      <c r="A9" s="110" t="s">
        <v>139</v>
      </c>
      <c r="B9" s="112">
        <f>B3/Group!B2</f>
        <v>0.27632226077016125</v>
      </c>
      <c r="C9" s="112"/>
      <c r="D9" s="112">
        <f>D3/Group!D2</f>
        <v>0.27690269573883664</v>
      </c>
      <c r="E9" s="112">
        <f>E3/Group!E2</f>
        <v>0.22744328806082115</v>
      </c>
      <c r="F9" s="112"/>
      <c r="G9" s="112">
        <f>G3/Group!G2</f>
        <v>0.21893999705145215</v>
      </c>
      <c r="H9" s="112"/>
      <c r="I9" s="112">
        <f>I3/Group!I2</f>
        <v>0.20794190260567433</v>
      </c>
      <c r="J9" s="112"/>
      <c r="K9" s="112">
        <f>K3/Group!K2</f>
        <v>0.20828479056584959</v>
      </c>
      <c r="L9" s="112"/>
      <c r="M9" s="112">
        <f>M3/Group!M2</f>
        <v>0.20100377988042589</v>
      </c>
    </row>
    <row r="10" spans="1:24" ht="10.199999999999999" customHeight="1">
      <c r="A10" s="110" t="s">
        <v>140</v>
      </c>
      <c r="B10" s="112">
        <f>B4/Group!B3</f>
        <v>0.29266875682389593</v>
      </c>
      <c r="C10" s="112"/>
      <c r="D10" s="112">
        <f>D4/Group!D3</f>
        <v>0.32102680985350363</v>
      </c>
      <c r="E10" s="112">
        <f>E4/Group!E3</f>
        <v>0.32381926182641541</v>
      </c>
      <c r="F10" s="112"/>
      <c r="G10" s="112">
        <f>G4/Group!G3</f>
        <v>0.31736932288397773</v>
      </c>
      <c r="H10" s="112"/>
      <c r="I10" s="112">
        <f>I4/Group!I3</f>
        <v>0.31198068550997499</v>
      </c>
      <c r="J10" s="112"/>
      <c r="K10" s="112">
        <f>K4/Group!K3</f>
        <v>0.30587245297538523</v>
      </c>
      <c r="L10" s="112"/>
      <c r="M10" s="112">
        <f>M4/Group!M3</f>
        <v>0.28322899505766064</v>
      </c>
    </row>
    <row r="11" spans="1:24" ht="10.199999999999999" customHeight="1">
      <c r="A11" s="1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</row>
    <row r="12" spans="1:24" s="109" customFormat="1" ht="10.199999999999999" customHeight="1">
      <c r="A12" s="105" t="s">
        <v>105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24" s="3" customFormat="1" ht="10.199999999999999">
      <c r="A13" s="115" t="s">
        <v>106</v>
      </c>
      <c r="B13" s="116">
        <v>9222</v>
      </c>
      <c r="C13" s="143">
        <f>IF((+B13/D13)&lt;0,"n.m.",IF(B13&lt;0,(+B13/D13-1)*-1,(+B13/D13-1)))</f>
        <v>-1.7263427109974416E-2</v>
      </c>
      <c r="D13" s="116">
        <v>9384</v>
      </c>
      <c r="E13" s="116">
        <v>9394</v>
      </c>
      <c r="F13" s="143">
        <f>IF((+E13/G13)&lt;0,"n.m.",IF(E13&lt;0,(+E13/G13-1)*-1,(+E13/G13-1)))</f>
        <v>0.22477183833116032</v>
      </c>
      <c r="G13" s="116">
        <v>7670</v>
      </c>
      <c r="H13" s="143">
        <f>IF((+G13/I13)&lt;0,"n.m.",IF(G13&lt;0,(+G13/I13-1)*-1,(+G13/I13-1)))</f>
        <v>8.3639446171234866E-2</v>
      </c>
      <c r="I13" s="116">
        <v>7078</v>
      </c>
      <c r="J13" s="117"/>
      <c r="K13" s="118"/>
      <c r="L13" s="117"/>
      <c r="M13" s="119"/>
      <c r="N13" s="29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3" customFormat="1" ht="10.199999999999999">
      <c r="A14" s="115" t="s">
        <v>107</v>
      </c>
      <c r="B14" s="116">
        <v>2267</v>
      </c>
      <c r="C14" s="143">
        <f t="shared" ref="C14:C40" si="2">IF((+B14/D14)&lt;0,"n.m.",IF(B14&lt;0,(+B14/D14-1)*-1,(+B14/D14-1)))</f>
        <v>4.6629732225300202E-2</v>
      </c>
      <c r="D14" s="116">
        <v>2166</v>
      </c>
      <c r="E14" s="116">
        <v>2259</v>
      </c>
      <c r="F14" s="143">
        <f t="shared" ref="F14:H39" si="3">IF((+E14/G14)&lt;0,"n.m.",IF(E14&lt;0,(+E14/G14-1)*-1,(+E14/G14-1)))</f>
        <v>0.52018842530282638</v>
      </c>
      <c r="G14" s="116">
        <v>1486</v>
      </c>
      <c r="H14" s="143">
        <f t="shared" si="3"/>
        <v>0.29217391304347817</v>
      </c>
      <c r="I14" s="116">
        <v>1150</v>
      </c>
      <c r="J14" s="117"/>
      <c r="K14" s="118"/>
      <c r="L14" s="117"/>
      <c r="M14" s="119"/>
      <c r="N14" s="29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3" customFormat="1" ht="10.199999999999999">
      <c r="A15" s="115" t="s">
        <v>108</v>
      </c>
      <c r="B15" s="116">
        <v>448</v>
      </c>
      <c r="C15" s="143">
        <f t="shared" si="2"/>
        <v>-3.0303030303030276E-2</v>
      </c>
      <c r="D15" s="116">
        <v>462</v>
      </c>
      <c r="E15" s="116">
        <v>459</v>
      </c>
      <c r="F15" s="143">
        <f t="shared" si="3"/>
        <v>-2.3404255319148914E-2</v>
      </c>
      <c r="G15" s="116">
        <v>470</v>
      </c>
      <c r="H15" s="143">
        <f t="shared" si="3"/>
        <v>0.22395833333333326</v>
      </c>
      <c r="I15" s="116">
        <v>384</v>
      </c>
      <c r="J15" s="117"/>
      <c r="K15" s="118"/>
      <c r="L15" s="117"/>
      <c r="M15" s="119"/>
      <c r="N15" s="29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3" customFormat="1" ht="10.199999999999999">
      <c r="A16" s="115" t="s">
        <v>109</v>
      </c>
      <c r="B16" s="116">
        <v>650</v>
      </c>
      <c r="C16" s="143">
        <f t="shared" si="2"/>
        <v>1.5625E-2</v>
      </c>
      <c r="D16" s="116">
        <v>640</v>
      </c>
      <c r="E16" s="116">
        <v>732</v>
      </c>
      <c r="F16" s="143">
        <f t="shared" si="3"/>
        <v>-9.4722598105547728E-3</v>
      </c>
      <c r="G16" s="116">
        <v>739</v>
      </c>
      <c r="H16" s="143">
        <f t="shared" si="3"/>
        <v>7.8832116788321249E-2</v>
      </c>
      <c r="I16" s="116">
        <v>685</v>
      </c>
      <c r="J16" s="117"/>
      <c r="K16" s="118"/>
      <c r="L16" s="117"/>
      <c r="M16" s="119"/>
      <c r="N16" s="29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1" customFormat="1" ht="10.199999999999999">
      <c r="A17" s="115" t="s">
        <v>110</v>
      </c>
      <c r="B17" s="116">
        <v>734</v>
      </c>
      <c r="C17" s="143">
        <f t="shared" si="2"/>
        <v>-2.7173913043477826E-3</v>
      </c>
      <c r="D17" s="116">
        <v>736</v>
      </c>
      <c r="E17" s="116">
        <v>749</v>
      </c>
      <c r="F17" s="143">
        <f t="shared" si="3"/>
        <v>1.6282225237449044E-2</v>
      </c>
      <c r="G17" s="116">
        <v>737</v>
      </c>
      <c r="H17" s="143">
        <f t="shared" si="3"/>
        <v>0.12347560975609762</v>
      </c>
      <c r="I17" s="116">
        <v>656</v>
      </c>
      <c r="J17" s="117"/>
      <c r="K17" s="118"/>
      <c r="L17" s="117"/>
      <c r="M17" s="119"/>
      <c r="N17" s="290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11" customFormat="1" ht="10.199999999999999">
      <c r="A18" s="115" t="s">
        <v>111</v>
      </c>
      <c r="B18" s="116">
        <v>222</v>
      </c>
      <c r="C18" s="143">
        <f t="shared" si="2"/>
        <v>0.10447761194029859</v>
      </c>
      <c r="D18" s="116">
        <v>201</v>
      </c>
      <c r="E18" s="116">
        <v>211</v>
      </c>
      <c r="F18" s="143">
        <f t="shared" si="3"/>
        <v>9.3264248704663322E-2</v>
      </c>
      <c r="G18" s="116">
        <v>193</v>
      </c>
      <c r="H18" s="143">
        <f t="shared" si="3"/>
        <v>0.19875776397515521</v>
      </c>
      <c r="I18" s="116">
        <v>161</v>
      </c>
      <c r="J18" s="117"/>
      <c r="K18" s="118"/>
      <c r="L18" s="117"/>
      <c r="M18" s="119"/>
      <c r="N18" s="290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11" customFormat="1" ht="10.199999999999999">
      <c r="A19" s="115" t="s">
        <v>112</v>
      </c>
      <c r="B19" s="116">
        <v>297</v>
      </c>
      <c r="C19" s="143">
        <f t="shared" si="2"/>
        <v>0.10820895522388052</v>
      </c>
      <c r="D19" s="116">
        <v>268</v>
      </c>
      <c r="E19" s="116">
        <v>308</v>
      </c>
      <c r="F19" s="143">
        <f t="shared" si="3"/>
        <v>2.6666666666666616E-2</v>
      </c>
      <c r="G19" s="116">
        <v>300</v>
      </c>
      <c r="H19" s="143">
        <f t="shared" si="3"/>
        <v>-6.6225165562914245E-3</v>
      </c>
      <c r="I19" s="116">
        <v>302</v>
      </c>
      <c r="J19" s="117"/>
      <c r="K19" s="118"/>
      <c r="L19" s="117"/>
      <c r="M19" s="119"/>
      <c r="N19" s="290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11" customFormat="1" ht="10.199999999999999">
      <c r="A20" s="115" t="s">
        <v>113</v>
      </c>
      <c r="B20" s="116">
        <v>213</v>
      </c>
      <c r="C20" s="143">
        <f t="shared" si="2"/>
        <v>1.4285714285714235E-2</v>
      </c>
      <c r="D20" s="116">
        <v>210</v>
      </c>
      <c r="E20" s="116">
        <v>218</v>
      </c>
      <c r="F20" s="143">
        <f t="shared" si="3"/>
        <v>-2.2421524663677084E-2</v>
      </c>
      <c r="G20" s="116">
        <v>223</v>
      </c>
      <c r="H20" s="143">
        <f t="shared" si="3"/>
        <v>7.7294685990338063E-2</v>
      </c>
      <c r="I20" s="116">
        <v>207</v>
      </c>
      <c r="J20" s="117"/>
      <c r="K20" s="118"/>
      <c r="L20" s="117"/>
      <c r="M20" s="119"/>
      <c r="N20" s="290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11" customFormat="1" ht="10.199999999999999">
      <c r="A21" s="115" t="s">
        <v>114</v>
      </c>
      <c r="B21" s="116">
        <v>104</v>
      </c>
      <c r="C21" s="143">
        <f t="shared" si="2"/>
        <v>-7.1428571428571397E-2</v>
      </c>
      <c r="D21" s="116">
        <v>112</v>
      </c>
      <c r="E21" s="116">
        <v>111</v>
      </c>
      <c r="F21" s="143">
        <f t="shared" si="3"/>
        <v>-5.9322033898305038E-2</v>
      </c>
      <c r="G21" s="116">
        <v>118</v>
      </c>
      <c r="H21" s="143">
        <f t="shared" si="3"/>
        <v>7.2727272727272751E-2</v>
      </c>
      <c r="I21" s="116">
        <v>110</v>
      </c>
      <c r="J21" s="117"/>
      <c r="K21" s="118"/>
      <c r="L21" s="117"/>
      <c r="M21" s="119"/>
      <c r="N21" s="290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11" customFormat="1" ht="10.199999999999999">
      <c r="A22" s="115" t="s">
        <v>115</v>
      </c>
      <c r="B22" s="116">
        <v>25</v>
      </c>
      <c r="C22" s="143">
        <f t="shared" si="2"/>
        <v>-0.24242424242424243</v>
      </c>
      <c r="D22" s="116">
        <v>33</v>
      </c>
      <c r="E22" s="116">
        <v>25</v>
      </c>
      <c r="F22" s="143">
        <f t="shared" si="3"/>
        <v>-0.21875</v>
      </c>
      <c r="G22" s="116">
        <v>32</v>
      </c>
      <c r="H22" s="143">
        <f t="shared" si="3"/>
        <v>-3.0303030303030276E-2</v>
      </c>
      <c r="I22" s="116">
        <v>33</v>
      </c>
      <c r="J22" s="117"/>
      <c r="K22" s="118"/>
      <c r="L22" s="117"/>
      <c r="M22" s="119"/>
      <c r="N22" s="290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11" customFormat="1" ht="10.199999999999999">
      <c r="A23" s="115" t="s">
        <v>116</v>
      </c>
      <c r="B23" s="116">
        <v>41</v>
      </c>
      <c r="C23" s="143">
        <f t="shared" si="2"/>
        <v>0.4137931034482758</v>
      </c>
      <c r="D23" s="116">
        <v>29</v>
      </c>
      <c r="E23" s="116">
        <v>39</v>
      </c>
      <c r="F23" s="143">
        <f t="shared" si="3"/>
        <v>0.5</v>
      </c>
      <c r="G23" s="116">
        <v>26</v>
      </c>
      <c r="H23" s="143">
        <f t="shared" si="3"/>
        <v>4.0000000000000036E-2</v>
      </c>
      <c r="I23" s="116">
        <v>25</v>
      </c>
      <c r="J23" s="117"/>
      <c r="K23" s="118"/>
      <c r="L23" s="117"/>
      <c r="M23" s="119"/>
      <c r="N23" s="290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11" customFormat="1" ht="10.199999999999999">
      <c r="A24" s="115" t="s">
        <v>117</v>
      </c>
      <c r="B24" s="116">
        <v>23</v>
      </c>
      <c r="C24" s="143">
        <f t="shared" si="2"/>
        <v>-4.166666666666663E-2</v>
      </c>
      <c r="D24" s="116">
        <v>24</v>
      </c>
      <c r="E24" s="116">
        <v>23</v>
      </c>
      <c r="F24" s="143">
        <f t="shared" si="3"/>
        <v>-4.166666666666663E-2</v>
      </c>
      <c r="G24" s="116">
        <v>24</v>
      </c>
      <c r="H24" s="143">
        <f t="shared" si="3"/>
        <v>-0.11111111111111116</v>
      </c>
      <c r="I24" s="116">
        <v>27</v>
      </c>
      <c r="J24" s="117"/>
      <c r="K24" s="118"/>
      <c r="L24" s="117"/>
      <c r="M24" s="119"/>
      <c r="N24" s="290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1" customFormat="1" ht="10.199999999999999">
      <c r="A25" s="115" t="s">
        <v>118</v>
      </c>
      <c r="B25" s="116">
        <v>65</v>
      </c>
      <c r="C25" s="143">
        <f t="shared" si="2"/>
        <v>-0.43965517241379315</v>
      </c>
      <c r="D25" s="116">
        <v>116</v>
      </c>
      <c r="E25" s="116">
        <v>93</v>
      </c>
      <c r="F25" s="143">
        <f t="shared" si="3"/>
        <v>-0.39215686274509809</v>
      </c>
      <c r="G25" s="116">
        <v>153</v>
      </c>
      <c r="H25" s="143">
        <f t="shared" si="3"/>
        <v>5.5172413793103559E-2</v>
      </c>
      <c r="I25" s="116">
        <v>145</v>
      </c>
      <c r="J25" s="117"/>
      <c r="K25" s="118"/>
      <c r="L25" s="117"/>
      <c r="M25" s="119"/>
      <c r="N25" s="290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11" customFormat="1" ht="10.199999999999999">
      <c r="A26" s="115" t="s">
        <v>119</v>
      </c>
      <c r="B26" s="121">
        <v>55</v>
      </c>
      <c r="C26" s="143">
        <f t="shared" si="2"/>
        <v>-0.20289855072463769</v>
      </c>
      <c r="D26" s="121">
        <v>69</v>
      </c>
      <c r="E26" s="121">
        <v>60</v>
      </c>
      <c r="F26" s="143">
        <f t="shared" si="3"/>
        <v>-0.55555555555555558</v>
      </c>
      <c r="G26" s="121">
        <v>135</v>
      </c>
      <c r="H26" s="143">
        <f t="shared" si="3"/>
        <v>-0.18181818181818177</v>
      </c>
      <c r="I26" s="121">
        <v>165</v>
      </c>
      <c r="J26" s="117"/>
      <c r="K26" s="122"/>
      <c r="L26" s="117"/>
      <c r="M26" s="123"/>
      <c r="N26" s="290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s="11" customFormat="1" ht="10.199999999999999">
      <c r="A27" s="115" t="s">
        <v>120</v>
      </c>
      <c r="B27" s="116">
        <v>25</v>
      </c>
      <c r="C27" s="143">
        <f t="shared" si="2"/>
        <v>0.47058823529411775</v>
      </c>
      <c r="D27" s="116">
        <v>17</v>
      </c>
      <c r="E27" s="116">
        <v>23</v>
      </c>
      <c r="F27" s="143">
        <f t="shared" si="3"/>
        <v>-0.47727272727272729</v>
      </c>
      <c r="G27" s="116">
        <v>44</v>
      </c>
      <c r="H27" s="143"/>
      <c r="I27" s="116">
        <v>0</v>
      </c>
      <c r="J27" s="117"/>
      <c r="K27" s="118"/>
      <c r="L27" s="117"/>
      <c r="M27" s="119"/>
      <c r="N27" s="290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s="3" customFormat="1" ht="10.199999999999999">
      <c r="A28" s="115" t="s">
        <v>121</v>
      </c>
      <c r="B28" s="116">
        <v>232</v>
      </c>
      <c r="C28" s="143">
        <f t="shared" si="2"/>
        <v>-0.30538922155688619</v>
      </c>
      <c r="D28" s="116">
        <v>334</v>
      </c>
      <c r="E28" s="116">
        <v>290</v>
      </c>
      <c r="F28" s="143">
        <f t="shared" si="3"/>
        <v>1.7543859649122862E-2</v>
      </c>
      <c r="G28" s="116">
        <v>285</v>
      </c>
      <c r="H28" s="143">
        <f t="shared" si="3"/>
        <v>0.39705882352941169</v>
      </c>
      <c r="I28" s="116">
        <v>204</v>
      </c>
      <c r="J28" s="117"/>
      <c r="K28" s="118"/>
      <c r="L28" s="117"/>
      <c r="M28" s="119"/>
      <c r="N28" s="29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11" customFormat="1" ht="10.199999999999999">
      <c r="A29" s="115" t="s">
        <v>122</v>
      </c>
      <c r="B29" s="116">
        <v>6</v>
      </c>
      <c r="C29" s="143">
        <f t="shared" si="2"/>
        <v>5</v>
      </c>
      <c r="D29" s="116">
        <v>1</v>
      </c>
      <c r="E29" s="116">
        <v>3</v>
      </c>
      <c r="F29" s="143">
        <f t="shared" si="3"/>
        <v>2</v>
      </c>
      <c r="G29" s="116">
        <v>1</v>
      </c>
      <c r="H29" s="143"/>
      <c r="I29" s="116">
        <v>0</v>
      </c>
      <c r="J29" s="117"/>
      <c r="K29" s="118"/>
      <c r="L29" s="117"/>
      <c r="M29" s="119"/>
      <c r="N29" s="290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1" customFormat="1" ht="10.199999999999999">
      <c r="A30" s="115" t="s">
        <v>123</v>
      </c>
      <c r="B30" s="116">
        <v>136</v>
      </c>
      <c r="C30" s="143">
        <f t="shared" si="2"/>
        <v>0.34653465346534662</v>
      </c>
      <c r="D30" s="116">
        <v>101</v>
      </c>
      <c r="E30" s="116">
        <v>119</v>
      </c>
      <c r="F30" s="143">
        <f t="shared" si="3"/>
        <v>0.21428571428571419</v>
      </c>
      <c r="G30" s="116">
        <v>98</v>
      </c>
      <c r="H30" s="143">
        <f t="shared" si="3"/>
        <v>-8.411214953271029E-2</v>
      </c>
      <c r="I30" s="116">
        <v>107</v>
      </c>
      <c r="J30" s="117"/>
      <c r="K30" s="118"/>
      <c r="L30" s="117"/>
      <c r="M30" s="119"/>
      <c r="N30" s="290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1" customFormat="1" ht="10.199999999999999">
      <c r="A31" s="115" t="s">
        <v>124</v>
      </c>
      <c r="B31" s="116">
        <v>5066</v>
      </c>
      <c r="C31" s="143">
        <f t="shared" si="2"/>
        <v>-0.15944914551186329</v>
      </c>
      <c r="D31" s="116">
        <v>6027</v>
      </c>
      <c r="E31" s="116">
        <v>5747</v>
      </c>
      <c r="F31" s="143">
        <f t="shared" si="3"/>
        <v>-0.1045497039576192</v>
      </c>
      <c r="G31" s="116">
        <v>6418</v>
      </c>
      <c r="H31" s="143">
        <f t="shared" si="3"/>
        <v>2.9515559833172889E-2</v>
      </c>
      <c r="I31" s="116">
        <v>6234</v>
      </c>
      <c r="J31" s="117"/>
      <c r="K31" s="118"/>
      <c r="L31" s="117"/>
      <c r="M31" s="119"/>
      <c r="N31" s="290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1" customFormat="1" ht="10.199999999999999">
      <c r="A32" s="115" t="s">
        <v>125</v>
      </c>
      <c r="B32" s="116">
        <v>4428</v>
      </c>
      <c r="C32" s="143">
        <f t="shared" si="2"/>
        <v>0.11396226415094346</v>
      </c>
      <c r="D32" s="116">
        <v>3975</v>
      </c>
      <c r="E32" s="116">
        <v>4146</v>
      </c>
      <c r="F32" s="143">
        <f t="shared" si="3"/>
        <v>0.34174757281553392</v>
      </c>
      <c r="G32" s="116">
        <v>3090</v>
      </c>
      <c r="H32" s="143">
        <f t="shared" si="3"/>
        <v>0.19489559164733183</v>
      </c>
      <c r="I32" s="116">
        <v>2586</v>
      </c>
      <c r="J32" s="124"/>
      <c r="K32" s="118"/>
      <c r="L32" s="124"/>
      <c r="M32" s="119"/>
      <c r="N32" s="290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1" customFormat="1" ht="10.199999999999999">
      <c r="A33" s="115" t="s">
        <v>126</v>
      </c>
      <c r="B33" s="126">
        <v>947</v>
      </c>
      <c r="C33" s="143">
        <f t="shared" si="2"/>
        <v>-0.40139064475347663</v>
      </c>
      <c r="D33" s="126">
        <v>1582</v>
      </c>
      <c r="E33" s="126">
        <v>1214</v>
      </c>
      <c r="F33" s="143">
        <f t="shared" si="3"/>
        <v>-0.48776371308016875</v>
      </c>
      <c r="G33" s="126">
        <v>2370</v>
      </c>
      <c r="H33" s="143">
        <f t="shared" si="3"/>
        <v>-9.7486671744097531E-2</v>
      </c>
      <c r="I33" s="126">
        <v>2626</v>
      </c>
      <c r="J33" s="117"/>
      <c r="K33" s="127"/>
      <c r="L33" s="117"/>
      <c r="M33" s="126"/>
      <c r="N33" s="290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11" customFormat="1" ht="10.199999999999999">
      <c r="A34" s="115" t="s">
        <v>127</v>
      </c>
      <c r="B34" s="126">
        <v>562</v>
      </c>
      <c r="C34" s="143">
        <f t="shared" si="2"/>
        <v>-0.30359355638166052</v>
      </c>
      <c r="D34" s="126">
        <v>807</v>
      </c>
      <c r="E34" s="126">
        <v>854</v>
      </c>
      <c r="F34" s="143">
        <f t="shared" si="3"/>
        <v>0.22525107604017225</v>
      </c>
      <c r="G34" s="126">
        <v>697</v>
      </c>
      <c r="H34" s="143">
        <f t="shared" si="3"/>
        <v>1.0144927536231974E-2</v>
      </c>
      <c r="I34" s="126">
        <v>690</v>
      </c>
      <c r="J34" s="117"/>
      <c r="K34" s="127"/>
      <c r="L34" s="117"/>
      <c r="M34" s="126"/>
      <c r="N34" s="290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s="11" customFormat="1" ht="10.199999999999999">
      <c r="A35" s="123" t="s">
        <v>106</v>
      </c>
      <c r="B35" s="128">
        <f>B13</f>
        <v>9222</v>
      </c>
      <c r="C35" s="143">
        <f t="shared" si="2"/>
        <v>-1.7263427109974416E-2</v>
      </c>
      <c r="D35" s="128">
        <f>D13</f>
        <v>9384</v>
      </c>
      <c r="E35" s="128">
        <f>E13</f>
        <v>9394</v>
      </c>
      <c r="F35" s="143">
        <f t="shared" si="3"/>
        <v>0.22477183833116032</v>
      </c>
      <c r="G35" s="128">
        <f>G13</f>
        <v>7670</v>
      </c>
      <c r="H35" s="143">
        <f t="shared" si="3"/>
        <v>8.3639446171234866E-2</v>
      </c>
      <c r="I35" s="128">
        <f>I13</f>
        <v>7078</v>
      </c>
      <c r="J35" s="117"/>
      <c r="K35" s="129"/>
      <c r="L35" s="117"/>
      <c r="M35" s="126"/>
      <c r="N35" s="290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1" customFormat="1" ht="10.199999999999999">
      <c r="A36" s="123" t="s">
        <v>107</v>
      </c>
      <c r="B36" s="128">
        <f>B14</f>
        <v>2267</v>
      </c>
      <c r="C36" s="143">
        <f t="shared" si="2"/>
        <v>4.6629732225300202E-2</v>
      </c>
      <c r="D36" s="128">
        <f>D14</f>
        <v>2166</v>
      </c>
      <c r="E36" s="128">
        <f>E14</f>
        <v>2259</v>
      </c>
      <c r="F36" s="143">
        <f t="shared" si="3"/>
        <v>0.52018842530282638</v>
      </c>
      <c r="G36" s="128">
        <f>G14</f>
        <v>1486</v>
      </c>
      <c r="H36" s="143">
        <f t="shared" si="3"/>
        <v>0.29217391304347817</v>
      </c>
      <c r="I36" s="128">
        <f>I14</f>
        <v>1150</v>
      </c>
      <c r="J36" s="117"/>
      <c r="K36" s="129"/>
      <c r="L36" s="117"/>
      <c r="M36" s="126"/>
      <c r="N36" s="290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3" customFormat="1" ht="10.199999999999999">
      <c r="A37" s="123" t="s">
        <v>128</v>
      </c>
      <c r="B37" s="121">
        <f>B15+B16+B17+B18+B19+B20+B21+B22+B23+B24</f>
        <v>2757</v>
      </c>
      <c r="C37" s="143">
        <f t="shared" si="2"/>
        <v>1.5469613259668558E-2</v>
      </c>
      <c r="D37" s="121">
        <f>D15+D16+D17+D18+D19+D20+D21+D22+D23+D24</f>
        <v>2715</v>
      </c>
      <c r="E37" s="121">
        <f>E15+E16+E17+E18+E19+E20+E21+E22+E23+E24</f>
        <v>2875</v>
      </c>
      <c r="F37" s="143">
        <f t="shared" si="3"/>
        <v>4.5422781271837742E-3</v>
      </c>
      <c r="G37" s="121">
        <f>G15+G16+G17+G18+G19+G20+G21+G22+G23+G24</f>
        <v>2862</v>
      </c>
      <c r="H37" s="143">
        <f t="shared" si="3"/>
        <v>0.10501930501930512</v>
      </c>
      <c r="I37" s="121">
        <f>I15+I16+I17+I18+I19+I20+I21+I22+I23+I24</f>
        <v>2590</v>
      </c>
      <c r="J37" s="117"/>
      <c r="K37" s="122"/>
      <c r="L37" s="117"/>
      <c r="M37" s="130"/>
      <c r="N37" s="290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3" customFormat="1" ht="10.199999999999999">
      <c r="A38" s="123" t="s">
        <v>129</v>
      </c>
      <c r="B38" s="121">
        <f>B25+B26+B27+B28+B29+B30</f>
        <v>519</v>
      </c>
      <c r="C38" s="143">
        <f t="shared" si="2"/>
        <v>-0.18652037617554862</v>
      </c>
      <c r="D38" s="121">
        <f>D25+D26+D27+D28+D29+D30</f>
        <v>638</v>
      </c>
      <c r="E38" s="121">
        <f>E25+E26+E27+E28+E29+E30</f>
        <v>588</v>
      </c>
      <c r="F38" s="143">
        <f t="shared" si="3"/>
        <v>-0.17877094972067042</v>
      </c>
      <c r="G38" s="121">
        <f>G25+G26+G27+G28+G29+G30</f>
        <v>716</v>
      </c>
      <c r="H38" s="143">
        <f t="shared" si="3"/>
        <v>0.1529790660225443</v>
      </c>
      <c r="I38" s="121">
        <f>I25+I26+I27+I28+I29+I30</f>
        <v>621</v>
      </c>
      <c r="J38" s="117"/>
      <c r="K38" s="122"/>
      <c r="L38" s="117"/>
      <c r="M38" s="130"/>
      <c r="N38" s="290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11" customFormat="1" ht="10.199999999999999">
      <c r="A39" s="123" t="s">
        <v>130</v>
      </c>
      <c r="B39" s="121">
        <f>B31+B32+B33+B34</f>
        <v>11003</v>
      </c>
      <c r="C39" s="143">
        <f t="shared" si="2"/>
        <v>-0.11201678637720924</v>
      </c>
      <c r="D39" s="121">
        <f>D31+D32+D33+D34</f>
        <v>12391</v>
      </c>
      <c r="E39" s="121">
        <f>E31+E32+E33+E34</f>
        <v>11961</v>
      </c>
      <c r="F39" s="143">
        <f t="shared" si="3"/>
        <v>-4.8827037773359838E-2</v>
      </c>
      <c r="G39" s="121">
        <f>G31+G32+G33+G34</f>
        <v>12575</v>
      </c>
      <c r="H39" s="143">
        <f t="shared" si="3"/>
        <v>3.6173368490441726E-2</v>
      </c>
      <c r="I39" s="121">
        <f>I31+I32+I33+I34</f>
        <v>12136</v>
      </c>
      <c r="J39" s="117"/>
      <c r="K39" s="122"/>
      <c r="L39" s="117"/>
      <c r="M39" s="130"/>
      <c r="N39" s="290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s="3" customFormat="1" ht="10.199999999999999">
      <c r="A40" s="131" t="s">
        <v>131</v>
      </c>
      <c r="B40" s="132">
        <f>SUM(B35:B39)</f>
        <v>25768</v>
      </c>
      <c r="C40" s="242">
        <f t="shared" si="2"/>
        <v>-5.5909723748809315E-2</v>
      </c>
      <c r="D40" s="132">
        <f>SUM(D35:D39)</f>
        <v>27294</v>
      </c>
      <c r="E40" s="132">
        <f>SUM(E35:E39)</f>
        <v>27077</v>
      </c>
      <c r="F40" s="242">
        <f t="shared" ref="F40:H40" si="4">IF((+E40/G40)&lt;0,"n.m.",IF(E40&lt;0,(+E40/G40-1)*-1,(+E40/G40-1)))</f>
        <v>6.9856572760677915E-2</v>
      </c>
      <c r="G40" s="132">
        <f>SUM(G35:G39)</f>
        <v>25309</v>
      </c>
      <c r="H40" s="242">
        <f t="shared" si="4"/>
        <v>7.3552492046659701E-2</v>
      </c>
      <c r="I40" s="132">
        <f>SUM(I35:I39)</f>
        <v>23575</v>
      </c>
      <c r="J40" s="107">
        <f>(I40-K40)/K40</f>
        <v>0.15416625868990502</v>
      </c>
      <c r="K40" s="133">
        <v>20426</v>
      </c>
      <c r="L40" s="107">
        <f>(K40-M40)/M40</f>
        <v>-7.4406380279137208E-2</v>
      </c>
      <c r="M40" s="133">
        <v>22068</v>
      </c>
      <c r="N40" s="290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141" customFormat="1" ht="10.199999999999999">
      <c r="A41" s="135" t="s">
        <v>141</v>
      </c>
      <c r="B41" s="136">
        <f>B40/Group!B153</f>
        <v>0.37449133821648645</v>
      </c>
      <c r="C41" s="117"/>
      <c r="D41" s="136">
        <f>D40/Group!D153</f>
        <v>0.38347195683938406</v>
      </c>
      <c r="E41" s="136">
        <f>E40/Group!E153</f>
        <v>0.36932414921912299</v>
      </c>
      <c r="F41" s="117"/>
      <c r="G41" s="136">
        <f>G40/Group!G153</f>
        <v>0.34714563959070582</v>
      </c>
      <c r="H41" s="137"/>
      <c r="I41" s="136">
        <f>I40/Group!I153</f>
        <v>0.3225034199726402</v>
      </c>
      <c r="J41" s="137"/>
      <c r="K41" s="137">
        <f>K40/Group!K153</f>
        <v>0.27598973111741659</v>
      </c>
      <c r="L41" s="137"/>
      <c r="M41" s="137">
        <f>M40/Group!M153</f>
        <v>0.28709702599328701</v>
      </c>
      <c r="N41" s="29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 spans="1:24" ht="12" customHeight="1">
      <c r="A42" s="110"/>
      <c r="B42" s="113"/>
      <c r="C42" s="117"/>
      <c r="D42" s="113"/>
      <c r="E42" s="113"/>
      <c r="F42" s="117"/>
      <c r="G42" s="113"/>
      <c r="H42" s="112"/>
      <c r="I42" s="113"/>
      <c r="J42" s="112"/>
      <c r="K42" s="113"/>
      <c r="L42" s="108"/>
      <c r="M42" s="113"/>
      <c r="N42" s="290"/>
    </row>
    <row r="43" spans="1:24" s="109" customFormat="1" ht="12" customHeight="1">
      <c r="A43" s="131" t="s">
        <v>4</v>
      </c>
      <c r="B43" s="114"/>
      <c r="C43" s="117"/>
      <c r="D43" s="114"/>
      <c r="E43" s="114"/>
      <c r="F43" s="117"/>
      <c r="G43" s="114"/>
      <c r="H43" s="112"/>
      <c r="I43" s="114"/>
      <c r="J43" s="112"/>
      <c r="K43" s="114"/>
      <c r="L43" s="108"/>
      <c r="M43" s="114"/>
      <c r="N43" s="290"/>
    </row>
    <row r="44" spans="1:24" s="3" customFormat="1" ht="10.199999999999999">
      <c r="A44" s="115" t="s">
        <v>106</v>
      </c>
      <c r="B44" s="142">
        <v>310.37</v>
      </c>
      <c r="C44" s="143">
        <f t="shared" ref="C44:C71" si="5">IF((+B44/D44)&lt;0,"n.m.",IF(B44&lt;0,(+B44/D44-1)*-1,(+B44/D44-1)))</f>
        <v>3.2192623632312456E-2</v>
      </c>
      <c r="D44" s="142">
        <v>300.69</v>
      </c>
      <c r="E44" s="142">
        <v>1409.67</v>
      </c>
      <c r="F44" s="143">
        <f t="shared" ref="F44:H70" si="6">IF((+E44/G44)&lt;0,"n.m.",IF(E44&lt;0,(+E44/G44-1)*-1,(+E44/G44-1)))</f>
        <v>0.13413250734140547</v>
      </c>
      <c r="G44" s="142">
        <v>1242.95</v>
      </c>
      <c r="H44" s="143">
        <f t="shared" si="6"/>
        <v>0.10274677502351071</v>
      </c>
      <c r="I44" s="142">
        <v>1127.1400000000001</v>
      </c>
      <c r="J44" s="117"/>
      <c r="K44" s="118"/>
      <c r="L44" s="117"/>
      <c r="M44" s="119"/>
      <c r="N44" s="290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3" customFormat="1" ht="10.199999999999999">
      <c r="A45" s="115" t="s">
        <v>107</v>
      </c>
      <c r="B45" s="142">
        <v>73.790000000000006</v>
      </c>
      <c r="C45" s="143">
        <f t="shared" si="5"/>
        <v>9.0438894635732403E-2</v>
      </c>
      <c r="D45" s="142">
        <v>67.67</v>
      </c>
      <c r="E45" s="142">
        <v>351.56</v>
      </c>
      <c r="F45" s="143">
        <f t="shared" si="6"/>
        <v>9.7390435759770133E-2</v>
      </c>
      <c r="G45" s="142">
        <v>320.36</v>
      </c>
      <c r="H45" s="143">
        <f t="shared" si="6"/>
        <v>8.7735977183213576E-2</v>
      </c>
      <c r="I45" s="142">
        <v>294.52</v>
      </c>
      <c r="J45" s="117"/>
      <c r="K45" s="118"/>
      <c r="L45" s="117"/>
      <c r="M45" s="119"/>
      <c r="N45" s="290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3" customFormat="1" ht="10.199999999999999">
      <c r="A46" s="115" t="s">
        <v>108</v>
      </c>
      <c r="B46" s="142">
        <v>6.57</v>
      </c>
      <c r="C46" s="143">
        <f t="shared" si="5"/>
        <v>-0.36766121270452357</v>
      </c>
      <c r="D46" s="142">
        <v>10.39</v>
      </c>
      <c r="E46" s="142">
        <v>62.82</v>
      </c>
      <c r="F46" s="143">
        <f t="shared" si="6"/>
        <v>-0.25400783754898459</v>
      </c>
      <c r="G46" s="142">
        <v>84.21</v>
      </c>
      <c r="H46" s="143">
        <f t="shared" si="6"/>
        <v>0.6150747986191023</v>
      </c>
      <c r="I46" s="142">
        <v>52.14</v>
      </c>
      <c r="J46" s="117"/>
      <c r="K46" s="118"/>
      <c r="L46" s="117"/>
      <c r="M46" s="119"/>
      <c r="N46" s="290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3" customFormat="1" ht="10.199999999999999">
      <c r="A47" s="115" t="s">
        <v>109</v>
      </c>
      <c r="B47" s="142">
        <v>10.79</v>
      </c>
      <c r="C47" s="143">
        <f t="shared" si="5"/>
        <v>-0.10158201498751052</v>
      </c>
      <c r="D47" s="142">
        <v>12.01</v>
      </c>
      <c r="E47" s="142">
        <v>112.7</v>
      </c>
      <c r="F47" s="143">
        <f t="shared" si="6"/>
        <v>3.546490260933477E-2</v>
      </c>
      <c r="G47" s="142">
        <v>108.84</v>
      </c>
      <c r="H47" s="143">
        <f t="shared" si="6"/>
        <v>0.16818718471611027</v>
      </c>
      <c r="I47" s="142">
        <v>93.17</v>
      </c>
      <c r="J47" s="117"/>
      <c r="K47" s="118"/>
      <c r="L47" s="117"/>
      <c r="M47" s="119"/>
      <c r="N47" s="290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11" customFormat="1" ht="10.199999999999999">
      <c r="A48" s="115" t="s">
        <v>110</v>
      </c>
      <c r="B48" s="142">
        <v>16.100000000000001</v>
      </c>
      <c r="C48" s="143">
        <f t="shared" si="5"/>
        <v>-0.23150357995226722</v>
      </c>
      <c r="D48" s="142">
        <v>20.95</v>
      </c>
      <c r="E48" s="142">
        <v>118.33</v>
      </c>
      <c r="F48" s="143">
        <f t="shared" si="6"/>
        <v>0.10392760518705102</v>
      </c>
      <c r="G48" s="142">
        <v>107.19</v>
      </c>
      <c r="H48" s="143">
        <f t="shared" si="6"/>
        <v>0.24871854613233912</v>
      </c>
      <c r="I48" s="142">
        <v>85.84</v>
      </c>
      <c r="J48" s="117"/>
      <c r="K48" s="118"/>
      <c r="L48" s="117"/>
      <c r="M48" s="119"/>
      <c r="N48" s="290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s="11" customFormat="1" ht="10.199999999999999">
      <c r="A49" s="115" t="s">
        <v>111</v>
      </c>
      <c r="B49" s="142">
        <v>5.7</v>
      </c>
      <c r="C49" s="143"/>
      <c r="D49" s="142">
        <v>0.04</v>
      </c>
      <c r="E49" s="142">
        <v>7.86</v>
      </c>
      <c r="F49" s="143">
        <f t="shared" si="6"/>
        <v>-0.62517882689556503</v>
      </c>
      <c r="G49" s="142">
        <v>20.97</v>
      </c>
      <c r="H49" s="143">
        <f t="shared" si="6"/>
        <v>1.7128072445019402</v>
      </c>
      <c r="I49" s="142">
        <v>7.73</v>
      </c>
      <c r="J49" s="117"/>
      <c r="K49" s="118"/>
      <c r="L49" s="117"/>
      <c r="M49" s="119"/>
      <c r="N49" s="290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s="11" customFormat="1" ht="10.199999999999999">
      <c r="A50" s="115" t="s">
        <v>112</v>
      </c>
      <c r="B50" s="142">
        <v>5.35</v>
      </c>
      <c r="C50" s="143">
        <f t="shared" si="5"/>
        <v>-0.26104972375690616</v>
      </c>
      <c r="D50" s="142">
        <v>7.24</v>
      </c>
      <c r="E50" s="142">
        <v>49.28</v>
      </c>
      <c r="F50" s="143">
        <f t="shared" si="6"/>
        <v>0.24949290060851936</v>
      </c>
      <c r="G50" s="142">
        <v>39.44</v>
      </c>
      <c r="H50" s="143">
        <f t="shared" si="6"/>
        <v>4.9494411921234605E-2</v>
      </c>
      <c r="I50" s="142">
        <v>37.58</v>
      </c>
      <c r="J50" s="117"/>
      <c r="K50" s="118"/>
      <c r="L50" s="117"/>
      <c r="M50" s="119"/>
      <c r="N50" s="290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s="11" customFormat="1" ht="10.199999999999999">
      <c r="A51" s="115" t="s">
        <v>113</v>
      </c>
      <c r="B51" s="142">
        <v>3.11</v>
      </c>
      <c r="C51" s="143">
        <f t="shared" si="5"/>
        <v>7.986111111111116E-2</v>
      </c>
      <c r="D51" s="142">
        <v>2.88</v>
      </c>
      <c r="E51" s="142">
        <v>29.54</v>
      </c>
      <c r="F51" s="143">
        <f t="shared" si="6"/>
        <v>0.13136729222520116</v>
      </c>
      <c r="G51" s="142">
        <v>26.11</v>
      </c>
      <c r="H51" s="143">
        <f t="shared" si="6"/>
        <v>-0.14840182648401834</v>
      </c>
      <c r="I51" s="142">
        <v>30.66</v>
      </c>
      <c r="J51" s="117"/>
      <c r="K51" s="118"/>
      <c r="L51" s="117"/>
      <c r="M51" s="119"/>
      <c r="N51" s="290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11" customFormat="1" ht="10.199999999999999">
      <c r="A52" s="115" t="s">
        <v>114</v>
      </c>
      <c r="B52" s="142">
        <v>1.98</v>
      </c>
      <c r="C52" s="143">
        <f t="shared" si="5"/>
        <v>-2.9411764705882359E-2</v>
      </c>
      <c r="D52" s="142">
        <v>2.04</v>
      </c>
      <c r="E52" s="142">
        <v>11.39</v>
      </c>
      <c r="F52" s="143">
        <f t="shared" si="6"/>
        <v>-0.33547257876312719</v>
      </c>
      <c r="G52" s="142">
        <v>17.14</v>
      </c>
      <c r="H52" s="143">
        <f t="shared" si="6"/>
        <v>-9.1679915209326945E-2</v>
      </c>
      <c r="I52" s="142">
        <v>18.87</v>
      </c>
      <c r="J52" s="117"/>
      <c r="K52" s="118"/>
      <c r="L52" s="117"/>
      <c r="M52" s="119"/>
      <c r="N52" s="290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s="11" customFormat="1" ht="10.199999999999999">
      <c r="A53" s="115" t="s">
        <v>115</v>
      </c>
      <c r="B53" s="142">
        <v>1.54</v>
      </c>
      <c r="C53" s="143">
        <f t="shared" si="5"/>
        <v>-0.26666666666666672</v>
      </c>
      <c r="D53" s="142">
        <v>2.1</v>
      </c>
      <c r="E53" s="142">
        <v>9.64</v>
      </c>
      <c r="F53" s="143">
        <f t="shared" si="6"/>
        <v>-0.10325581395348837</v>
      </c>
      <c r="G53" s="142">
        <v>10.75</v>
      </c>
      <c r="H53" s="143">
        <f t="shared" si="6"/>
        <v>4.7758284600389889E-2</v>
      </c>
      <c r="I53" s="142">
        <v>10.26</v>
      </c>
      <c r="J53" s="117"/>
      <c r="K53" s="118"/>
      <c r="L53" s="117"/>
      <c r="M53" s="119"/>
      <c r="N53" s="290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s="11" customFormat="1" ht="10.199999999999999">
      <c r="A54" s="115" t="s">
        <v>116</v>
      </c>
      <c r="B54" s="142">
        <v>0.76</v>
      </c>
      <c r="C54" s="143">
        <f t="shared" si="5"/>
        <v>1.8148148148148149</v>
      </c>
      <c r="D54" s="142">
        <v>0.27</v>
      </c>
      <c r="E54" s="142">
        <v>2.4900000000000002</v>
      </c>
      <c r="F54" s="143">
        <f t="shared" si="6"/>
        <v>0.74125874125874147</v>
      </c>
      <c r="G54" s="142">
        <v>1.43</v>
      </c>
      <c r="H54" s="143">
        <f t="shared" si="6"/>
        <v>0.5888888888888888</v>
      </c>
      <c r="I54" s="142">
        <v>0.9</v>
      </c>
      <c r="J54" s="117"/>
      <c r="K54" s="118"/>
      <c r="L54" s="117"/>
      <c r="M54" s="119"/>
      <c r="N54" s="290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s="11" customFormat="1" ht="10.199999999999999">
      <c r="A55" s="115" t="s">
        <v>117</v>
      </c>
      <c r="B55" s="142">
        <v>0.55000000000000004</v>
      </c>
      <c r="C55" s="143">
        <f t="shared" si="5"/>
        <v>0.14583333333333348</v>
      </c>
      <c r="D55" s="142">
        <v>0.48</v>
      </c>
      <c r="E55" s="142">
        <v>2.57</v>
      </c>
      <c r="F55" s="143">
        <f t="shared" si="6"/>
        <v>0</v>
      </c>
      <c r="G55" s="142">
        <v>2.57</v>
      </c>
      <c r="H55" s="143">
        <f t="shared" si="6"/>
        <v>0.70198675496688723</v>
      </c>
      <c r="I55" s="142">
        <v>1.51</v>
      </c>
      <c r="J55" s="117"/>
      <c r="K55" s="118"/>
      <c r="L55" s="117"/>
      <c r="M55" s="119"/>
      <c r="N55" s="290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11" customFormat="1" ht="10.199999999999999">
      <c r="A56" s="115" t="s">
        <v>118</v>
      </c>
      <c r="B56" s="142">
        <v>4.62</v>
      </c>
      <c r="C56" s="143">
        <f t="shared" si="5"/>
        <v>-0.28813559322033899</v>
      </c>
      <c r="D56" s="142">
        <v>6.49</v>
      </c>
      <c r="E56" s="142">
        <v>31.3</v>
      </c>
      <c r="F56" s="143">
        <f t="shared" si="6"/>
        <v>-3.2158317872603703E-2</v>
      </c>
      <c r="G56" s="142">
        <v>32.340000000000003</v>
      </c>
      <c r="H56" s="143">
        <f t="shared" si="6"/>
        <v>0.47603833865814704</v>
      </c>
      <c r="I56" s="142">
        <v>21.91</v>
      </c>
      <c r="J56" s="117"/>
      <c r="K56" s="118"/>
      <c r="L56" s="117"/>
      <c r="M56" s="119"/>
      <c r="N56" s="290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s="11" customFormat="1" ht="10.199999999999999">
      <c r="A57" s="115" t="s">
        <v>119</v>
      </c>
      <c r="B57" s="144">
        <v>8.2899999999999991</v>
      </c>
      <c r="C57" s="143">
        <f t="shared" si="5"/>
        <v>-0.41537376586741892</v>
      </c>
      <c r="D57" s="144">
        <v>14.18</v>
      </c>
      <c r="E57" s="144">
        <v>72.88</v>
      </c>
      <c r="F57" s="143">
        <f t="shared" si="6"/>
        <v>0.19671592775041047</v>
      </c>
      <c r="G57" s="144">
        <v>60.9</v>
      </c>
      <c r="H57" s="143">
        <f t="shared" si="6"/>
        <v>-0.28445541064504765</v>
      </c>
      <c r="I57" s="144">
        <v>85.11</v>
      </c>
      <c r="J57" s="117"/>
      <c r="K57" s="122"/>
      <c r="L57" s="117"/>
      <c r="M57" s="123"/>
      <c r="N57" s="290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s="11" customFormat="1" ht="10.199999999999999">
      <c r="A58" s="115" t="s">
        <v>120</v>
      </c>
      <c r="B58" s="142">
        <v>2.34</v>
      </c>
      <c r="C58" s="143">
        <f t="shared" si="5"/>
        <v>-0.55258126195028689</v>
      </c>
      <c r="D58" s="142">
        <v>5.23</v>
      </c>
      <c r="E58" s="142">
        <v>28.59</v>
      </c>
      <c r="F58" s="143">
        <f t="shared" si="6"/>
        <v>0.18385093167701871</v>
      </c>
      <c r="G58" s="142">
        <v>24.15</v>
      </c>
      <c r="H58" s="143">
        <f t="shared" si="6"/>
        <v>14.38216560509554</v>
      </c>
      <c r="I58" s="142">
        <v>1.57</v>
      </c>
      <c r="J58" s="117"/>
      <c r="K58" s="118"/>
      <c r="L58" s="117"/>
      <c r="M58" s="119"/>
      <c r="N58" s="290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s="3" customFormat="1" ht="10.199999999999999">
      <c r="A59" s="115" t="s">
        <v>121</v>
      </c>
      <c r="B59" s="142">
        <v>15.12</v>
      </c>
      <c r="C59" s="143">
        <f t="shared" si="5"/>
        <v>-0.67884451996601536</v>
      </c>
      <c r="D59" s="142">
        <v>47.08</v>
      </c>
      <c r="E59" s="142">
        <v>181.16</v>
      </c>
      <c r="F59" s="143">
        <f t="shared" si="6"/>
        <v>5.7189542483659928E-2</v>
      </c>
      <c r="G59" s="142">
        <v>171.36</v>
      </c>
      <c r="H59" s="143">
        <f t="shared" si="6"/>
        <v>0.10412371134020626</v>
      </c>
      <c r="I59" s="142">
        <v>155.19999999999999</v>
      </c>
      <c r="J59" s="117"/>
      <c r="K59" s="118"/>
      <c r="L59" s="117"/>
      <c r="M59" s="119"/>
      <c r="N59" s="290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11" customFormat="1" ht="10.199999999999999">
      <c r="A60" s="115" t="s">
        <v>122</v>
      </c>
      <c r="B60" s="142">
        <v>1.4</v>
      </c>
      <c r="C60" s="143">
        <f t="shared" si="5"/>
        <v>0.33333333333333326</v>
      </c>
      <c r="D60" s="142">
        <v>1.05</v>
      </c>
      <c r="E60" s="142">
        <v>5.22</v>
      </c>
      <c r="F60" s="143">
        <f t="shared" si="6"/>
        <v>0.5352941176470587</v>
      </c>
      <c r="G60" s="142">
        <v>3.4</v>
      </c>
      <c r="H60" s="143"/>
      <c r="I60" s="142">
        <v>0</v>
      </c>
      <c r="J60" s="117"/>
      <c r="K60" s="118"/>
      <c r="L60" s="117"/>
      <c r="M60" s="119"/>
      <c r="N60" s="290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s="11" customFormat="1" ht="10.199999999999999">
      <c r="A61" s="115" t="s">
        <v>123</v>
      </c>
      <c r="B61" s="142">
        <v>5.99</v>
      </c>
      <c r="C61" s="143">
        <f t="shared" si="5"/>
        <v>0.93225806451612914</v>
      </c>
      <c r="D61" s="142">
        <v>3.1</v>
      </c>
      <c r="E61" s="142">
        <v>17.739999999999998</v>
      </c>
      <c r="F61" s="143">
        <f t="shared" si="6"/>
        <v>0.70741097208854642</v>
      </c>
      <c r="G61" s="142">
        <v>10.39</v>
      </c>
      <c r="H61" s="143">
        <f t="shared" si="6"/>
        <v>0.1608938547486034</v>
      </c>
      <c r="I61" s="142">
        <v>8.9499999999999993</v>
      </c>
      <c r="J61" s="117"/>
      <c r="K61" s="118"/>
      <c r="L61" s="117"/>
      <c r="M61" s="119"/>
      <c r="N61" s="290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11" customFormat="1" ht="10.199999999999999">
      <c r="A62" s="115" t="s">
        <v>124</v>
      </c>
      <c r="B62" s="142">
        <v>60.95</v>
      </c>
      <c r="C62" s="143">
        <f t="shared" si="5"/>
        <v>-0.11820023148148151</v>
      </c>
      <c r="D62" s="142">
        <v>69.12</v>
      </c>
      <c r="E62" s="142">
        <v>283.86</v>
      </c>
      <c r="F62" s="143">
        <f t="shared" si="6"/>
        <v>0.19863187230808221</v>
      </c>
      <c r="G62" s="142">
        <v>236.82</v>
      </c>
      <c r="H62" s="143">
        <f t="shared" si="6"/>
        <v>-0.21293495961979458</v>
      </c>
      <c r="I62" s="142">
        <v>300.89</v>
      </c>
      <c r="J62" s="117"/>
      <c r="K62" s="118"/>
      <c r="L62" s="117"/>
      <c r="M62" s="119"/>
      <c r="N62" s="290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s="11" customFormat="1" ht="10.199999999999999">
      <c r="A63" s="115" t="s">
        <v>125</v>
      </c>
      <c r="B63" s="142">
        <v>55.57</v>
      </c>
      <c r="C63" s="143">
        <f t="shared" si="5"/>
        <v>-0.18267392263568161</v>
      </c>
      <c r="D63" s="142">
        <v>67.989999999999995</v>
      </c>
      <c r="E63" s="142">
        <v>279.87</v>
      </c>
      <c r="F63" s="143">
        <f t="shared" si="6"/>
        <v>0.21087699563016482</v>
      </c>
      <c r="G63" s="142">
        <v>231.13</v>
      </c>
      <c r="H63" s="143">
        <f t="shared" si="6"/>
        <v>-6.8662610307450467E-2</v>
      </c>
      <c r="I63" s="142">
        <v>248.17</v>
      </c>
      <c r="J63" s="124"/>
      <c r="K63" s="118"/>
      <c r="L63" s="124"/>
      <c r="M63" s="119"/>
      <c r="N63" s="290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11" customFormat="1" ht="10.199999999999999">
      <c r="A64" s="115" t="s">
        <v>126</v>
      </c>
      <c r="B64" s="145">
        <v>12.79</v>
      </c>
      <c r="C64" s="143">
        <f t="shared" si="5"/>
        <v>-0.55217086834733897</v>
      </c>
      <c r="D64" s="145">
        <v>28.56</v>
      </c>
      <c r="E64" s="145">
        <v>93.37</v>
      </c>
      <c r="F64" s="143">
        <f t="shared" si="6"/>
        <v>-0.32237462805718842</v>
      </c>
      <c r="G64" s="145">
        <v>137.79</v>
      </c>
      <c r="H64" s="143">
        <f t="shared" si="6"/>
        <v>-8.3294524649058732E-2</v>
      </c>
      <c r="I64" s="145">
        <v>150.31</v>
      </c>
      <c r="J64" s="117"/>
      <c r="K64" s="127"/>
      <c r="L64" s="117"/>
      <c r="M64" s="126"/>
      <c r="N64" s="290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s="11" customFormat="1" ht="10.199999999999999">
      <c r="A65" s="115" t="s">
        <v>127</v>
      </c>
      <c r="B65" s="145">
        <v>19.96</v>
      </c>
      <c r="C65" s="143">
        <f t="shared" si="5"/>
        <v>0.43287867910983491</v>
      </c>
      <c r="D65" s="145">
        <v>13.93</v>
      </c>
      <c r="E65" s="145">
        <v>88.27</v>
      </c>
      <c r="F65" s="143">
        <f t="shared" si="6"/>
        <v>0.10475594493116391</v>
      </c>
      <c r="G65" s="145">
        <v>79.900000000000006</v>
      </c>
      <c r="H65" s="143">
        <f t="shared" si="6"/>
        <v>-0.1120248944209824</v>
      </c>
      <c r="I65" s="145">
        <v>89.98</v>
      </c>
      <c r="J65" s="117"/>
      <c r="K65" s="127"/>
      <c r="L65" s="117"/>
      <c r="M65" s="126"/>
      <c r="N65" s="290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s="11" customFormat="1" ht="10.199999999999999">
      <c r="A66" s="123" t="s">
        <v>106</v>
      </c>
      <c r="B66" s="146">
        <f>B44</f>
        <v>310.37</v>
      </c>
      <c r="C66" s="143">
        <f t="shared" si="5"/>
        <v>3.2192623632312456E-2</v>
      </c>
      <c r="D66" s="146">
        <f>D44</f>
        <v>300.69</v>
      </c>
      <c r="E66" s="146">
        <f>E44</f>
        <v>1409.67</v>
      </c>
      <c r="F66" s="143">
        <f t="shared" si="6"/>
        <v>0.13413250734140547</v>
      </c>
      <c r="G66" s="146">
        <f>G44</f>
        <v>1242.95</v>
      </c>
      <c r="H66" s="143">
        <f t="shared" si="6"/>
        <v>0.10274677502351071</v>
      </c>
      <c r="I66" s="146">
        <f>I44</f>
        <v>1127.1400000000001</v>
      </c>
      <c r="J66" s="117"/>
      <c r="K66" s="129"/>
      <c r="L66" s="117"/>
      <c r="M66" s="126"/>
      <c r="N66" s="290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s="11" customFormat="1" ht="10.199999999999999">
      <c r="A67" s="123" t="s">
        <v>107</v>
      </c>
      <c r="B67" s="146">
        <f>B45</f>
        <v>73.790000000000006</v>
      </c>
      <c r="C67" s="143">
        <f t="shared" si="5"/>
        <v>9.0438894635732403E-2</v>
      </c>
      <c r="D67" s="146">
        <f>D45</f>
        <v>67.67</v>
      </c>
      <c r="E67" s="146">
        <f>E45</f>
        <v>351.56</v>
      </c>
      <c r="F67" s="143">
        <f t="shared" si="6"/>
        <v>9.7390435759770133E-2</v>
      </c>
      <c r="G67" s="146">
        <f>G45</f>
        <v>320.36</v>
      </c>
      <c r="H67" s="143">
        <f t="shared" si="6"/>
        <v>8.7735977183213576E-2</v>
      </c>
      <c r="I67" s="146">
        <f>I45</f>
        <v>294.52</v>
      </c>
      <c r="J67" s="117"/>
      <c r="K67" s="129"/>
      <c r="L67" s="117"/>
      <c r="M67" s="126"/>
      <c r="N67" s="290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s="3" customFormat="1" ht="10.199999999999999">
      <c r="A68" s="123" t="s">
        <v>128</v>
      </c>
      <c r="B68" s="144">
        <f>B46+B47+B48+B49+B50+B51+B52+B53+B54+B55</f>
        <v>52.449999999999996</v>
      </c>
      <c r="C68" s="143">
        <f t="shared" si="5"/>
        <v>-0.10188356164383572</v>
      </c>
      <c r="D68" s="144">
        <f>D46+D47+D48+D49+D50+D51+D52+D53+D54+D55</f>
        <v>58.4</v>
      </c>
      <c r="E68" s="144">
        <f>E46+E47+E48+E49+E50+E51+E52+E53+E54+E55</f>
        <v>406.62</v>
      </c>
      <c r="F68" s="143">
        <f t="shared" si="6"/>
        <v>-2.8735220351128743E-2</v>
      </c>
      <c r="G68" s="144">
        <f>G46+G47+G48+G49+G50+G51+G52+G53+G54+G55</f>
        <v>418.65000000000003</v>
      </c>
      <c r="H68" s="143">
        <f t="shared" si="6"/>
        <v>0.23619559440146487</v>
      </c>
      <c r="I68" s="144">
        <f>I46+I47+I48+I49+I50+I51+I52+I53+I54+I55</f>
        <v>338.65999999999997</v>
      </c>
      <c r="J68" s="117"/>
      <c r="K68" s="122"/>
      <c r="L68" s="117"/>
      <c r="M68" s="130"/>
      <c r="N68" s="290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3" customFormat="1" ht="10.199999999999999">
      <c r="A69" s="123" t="s">
        <v>129</v>
      </c>
      <c r="B69" s="144">
        <f>B56+B57+B58+B59+B60+B61</f>
        <v>37.76</v>
      </c>
      <c r="C69" s="143">
        <f t="shared" si="5"/>
        <v>-0.51043692467263058</v>
      </c>
      <c r="D69" s="144">
        <f>D56+D57+D58+D59+D60+D61</f>
        <v>77.13</v>
      </c>
      <c r="E69" s="144">
        <f>E56+E57+E58+E59+E60+E61</f>
        <v>336.89</v>
      </c>
      <c r="F69" s="143">
        <f t="shared" si="6"/>
        <v>0.11353870562570245</v>
      </c>
      <c r="G69" s="144">
        <f>G56+G57+G58+G59+G60+G61</f>
        <v>302.53999999999996</v>
      </c>
      <c r="H69" s="143">
        <f t="shared" si="6"/>
        <v>0.10926156779350293</v>
      </c>
      <c r="I69" s="144">
        <f>I56+I57+I58+I59+I60+I61</f>
        <v>272.73999999999995</v>
      </c>
      <c r="J69" s="117"/>
      <c r="K69" s="122"/>
      <c r="L69" s="117"/>
      <c r="M69" s="130"/>
      <c r="N69" s="290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11" customFormat="1" ht="10.199999999999999">
      <c r="A70" s="123" t="s">
        <v>130</v>
      </c>
      <c r="B70" s="144">
        <f>B62+B63+B64+B65</f>
        <v>149.27000000000001</v>
      </c>
      <c r="C70" s="143">
        <f t="shared" si="5"/>
        <v>-0.16887527839643657</v>
      </c>
      <c r="D70" s="144">
        <f>D62+D63+D64+D65</f>
        <v>179.60000000000002</v>
      </c>
      <c r="E70" s="144">
        <f>E62+E63+E64+E65</f>
        <v>745.37</v>
      </c>
      <c r="F70" s="143">
        <f t="shared" si="6"/>
        <v>8.7115687532816066E-2</v>
      </c>
      <c r="G70" s="144">
        <f>G62+G63+G64+G65</f>
        <v>685.64</v>
      </c>
      <c r="H70" s="143">
        <f t="shared" si="6"/>
        <v>-0.13138658389814395</v>
      </c>
      <c r="I70" s="144">
        <f>I62+I63+I64+I65</f>
        <v>789.34999999999991</v>
      </c>
      <c r="J70" s="117"/>
      <c r="K70" s="122"/>
      <c r="L70" s="117"/>
      <c r="M70" s="130"/>
      <c r="N70" s="290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s="109" customFormat="1" ht="10.199999999999999" customHeight="1">
      <c r="A71" s="131" t="s">
        <v>134</v>
      </c>
      <c r="B71" s="147">
        <f>SUM(B66:B70)</f>
        <v>623.64</v>
      </c>
      <c r="C71" s="242">
        <f t="shared" si="5"/>
        <v>-8.7565289909142807E-2</v>
      </c>
      <c r="D71" s="147">
        <f>SUM(D66:D70)</f>
        <v>683.49</v>
      </c>
      <c r="E71" s="147">
        <f>SUM(E66:E70)</f>
        <v>3250.1099999999997</v>
      </c>
      <c r="F71" s="242">
        <f t="shared" ref="F71:H71" si="7">IF((+E71/G71)&lt;0,"n.m.",IF(E71&lt;0,(+E71/G71-1)*-1,(+E71/G71-1)))</f>
        <v>9.4261549960607871E-2</v>
      </c>
      <c r="G71" s="147">
        <f>SUM(G66:G70)</f>
        <v>2970.14</v>
      </c>
      <c r="H71" s="242">
        <f t="shared" si="7"/>
        <v>5.2341793006685844E-2</v>
      </c>
      <c r="I71" s="147">
        <f>SUM(I66:I70)</f>
        <v>2822.41</v>
      </c>
      <c r="J71" s="107">
        <f>(I71-K71)/K71</f>
        <v>-3.5027317546822694E-2</v>
      </c>
      <c r="K71" s="147">
        <v>2924.8599999999997</v>
      </c>
      <c r="L71" s="107">
        <f>(K71-M71)/M71</f>
        <v>1.5735097497872913E-2</v>
      </c>
      <c r="M71" s="147">
        <v>2879.5499999999997</v>
      </c>
      <c r="N71" s="290"/>
    </row>
    <row r="72" spans="1:24" ht="10.199999999999999" customHeight="1">
      <c r="A72" s="115"/>
      <c r="B72" s="123"/>
      <c r="C72" s="117"/>
      <c r="D72" s="123"/>
      <c r="E72" s="123"/>
      <c r="F72" s="117"/>
      <c r="G72" s="123"/>
      <c r="H72" s="112"/>
      <c r="I72" s="123"/>
      <c r="J72" s="112"/>
      <c r="K72" s="123"/>
      <c r="L72" s="108"/>
      <c r="M72" s="123"/>
      <c r="N72" s="290"/>
    </row>
    <row r="73" spans="1:24" ht="10.199999999999999" customHeight="1">
      <c r="A73" s="148" t="s">
        <v>5</v>
      </c>
      <c r="B73" s="149"/>
      <c r="C73" s="117"/>
      <c r="D73" s="149"/>
      <c r="E73" s="149"/>
      <c r="F73" s="117"/>
      <c r="G73" s="149"/>
      <c r="H73" s="112"/>
      <c r="I73" s="149"/>
      <c r="J73" s="112"/>
      <c r="K73" s="149"/>
      <c r="L73" s="112"/>
      <c r="M73" s="149"/>
      <c r="N73" s="290"/>
    </row>
    <row r="74" spans="1:24" s="3" customFormat="1" ht="10.199999999999999">
      <c r="A74" s="115" t="s">
        <v>106</v>
      </c>
      <c r="B74" s="142">
        <v>1226.1300000000001</v>
      </c>
      <c r="C74" s="143">
        <f t="shared" ref="C74:C101" si="8">IF((+B74/D74)&lt;0,"n.m.",IF(B74&lt;0,(+B74/D74-1)*-1,(+B74/D74-1)))</f>
        <v>2.8054700797370602E-2</v>
      </c>
      <c r="D74" s="142">
        <v>1192.67</v>
      </c>
      <c r="E74" s="142">
        <v>1161.8699999999999</v>
      </c>
      <c r="F74" s="143">
        <f t="shared" ref="F74:H100" si="9">IF((+E74/G74)&lt;0,"n.m.",IF(E74&lt;0,(+E74/G74-1)*-1,(+E74/G74-1)))</f>
        <v>5.7129599301233736E-2</v>
      </c>
      <c r="G74" s="142">
        <v>1099.08</v>
      </c>
      <c r="H74" s="143">
        <f t="shared" si="9"/>
        <v>8.8801711840228004E-2</v>
      </c>
      <c r="I74" s="142">
        <v>1009.44</v>
      </c>
      <c r="J74" s="117"/>
      <c r="K74" s="118"/>
      <c r="L74" s="117"/>
      <c r="M74" s="119"/>
      <c r="N74" s="290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3" customFormat="1" ht="10.199999999999999">
      <c r="A75" s="115" t="s">
        <v>107</v>
      </c>
      <c r="B75" s="142">
        <v>477.39</v>
      </c>
      <c r="C75" s="143">
        <f t="shared" si="8"/>
        <v>-0.11915788696791341</v>
      </c>
      <c r="D75" s="142">
        <v>541.97</v>
      </c>
      <c r="E75" s="142">
        <v>505.2</v>
      </c>
      <c r="F75" s="143">
        <f t="shared" si="9"/>
        <v>-2.7807177908207414E-2</v>
      </c>
      <c r="G75" s="142">
        <v>519.65</v>
      </c>
      <c r="H75" s="143">
        <f t="shared" si="9"/>
        <v>0.27433910441904952</v>
      </c>
      <c r="I75" s="142">
        <v>407.78</v>
      </c>
      <c r="J75" s="117"/>
      <c r="K75" s="118"/>
      <c r="L75" s="117"/>
      <c r="M75" s="119"/>
      <c r="N75" s="290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3" customFormat="1" ht="10.199999999999999">
      <c r="A76" s="115" t="s">
        <v>108</v>
      </c>
      <c r="B76" s="142">
        <v>45.86</v>
      </c>
      <c r="C76" s="143">
        <f t="shared" si="8"/>
        <v>9.765438008616556E-2</v>
      </c>
      <c r="D76" s="142">
        <v>41.78</v>
      </c>
      <c r="E76" s="142">
        <v>43.02</v>
      </c>
      <c r="F76" s="143">
        <f t="shared" si="9"/>
        <v>-3.650615901455756E-2</v>
      </c>
      <c r="G76" s="142">
        <v>44.65</v>
      </c>
      <c r="H76" s="143">
        <f t="shared" si="9"/>
        <v>1.2049382716049384</v>
      </c>
      <c r="I76" s="142">
        <v>20.25</v>
      </c>
      <c r="J76" s="117"/>
      <c r="K76" s="118"/>
      <c r="L76" s="117"/>
      <c r="M76" s="119"/>
      <c r="N76" s="290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3" customFormat="1" ht="10.199999999999999">
      <c r="A77" s="115" t="s">
        <v>109</v>
      </c>
      <c r="B77" s="142">
        <v>13.17</v>
      </c>
      <c r="C77" s="143">
        <f t="shared" si="8"/>
        <v>-0.19350887936313521</v>
      </c>
      <c r="D77" s="142">
        <v>16.329999999999998</v>
      </c>
      <c r="E77" s="142">
        <v>9.9</v>
      </c>
      <c r="F77" s="143">
        <f t="shared" si="9"/>
        <v>-0.1428571428571429</v>
      </c>
      <c r="G77" s="142">
        <v>11.55</v>
      </c>
      <c r="H77" s="143">
        <f t="shared" si="9"/>
        <v>0.43835616438356184</v>
      </c>
      <c r="I77" s="142">
        <v>8.0299999999999994</v>
      </c>
      <c r="J77" s="117"/>
      <c r="K77" s="118"/>
      <c r="L77" s="117"/>
      <c r="M77" s="119"/>
      <c r="N77" s="290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11" customFormat="1" ht="10.199999999999999">
      <c r="A78" s="115" t="s">
        <v>110</v>
      </c>
      <c r="B78" s="142">
        <v>25.57</v>
      </c>
      <c r="C78" s="143">
        <f t="shared" si="8"/>
        <v>-0.33446121811556473</v>
      </c>
      <c r="D78" s="142">
        <v>38.419999999999995</v>
      </c>
      <c r="E78" s="142">
        <v>17.649999999999999</v>
      </c>
      <c r="F78" s="143">
        <f t="shared" si="9"/>
        <v>-0.18097447795823673</v>
      </c>
      <c r="G78" s="142">
        <v>21.55</v>
      </c>
      <c r="H78" s="143">
        <f t="shared" si="9"/>
        <v>0.67965705378020269</v>
      </c>
      <c r="I78" s="142">
        <v>12.83</v>
      </c>
      <c r="J78" s="117"/>
      <c r="K78" s="118"/>
      <c r="L78" s="117"/>
      <c r="M78" s="119"/>
      <c r="N78" s="290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s="11" customFormat="1" ht="10.199999999999999">
      <c r="A79" s="115" t="s">
        <v>111</v>
      </c>
      <c r="B79" s="142">
        <v>61.31</v>
      </c>
      <c r="C79" s="143">
        <f t="shared" si="8"/>
        <v>-9.7054491899852713E-2</v>
      </c>
      <c r="D79" s="142">
        <v>67.900000000000006</v>
      </c>
      <c r="E79" s="142">
        <v>66.5</v>
      </c>
      <c r="F79" s="143">
        <f t="shared" si="9"/>
        <v>-2.3494860499265746E-2</v>
      </c>
      <c r="G79" s="142">
        <v>68.099999999999994</v>
      </c>
      <c r="H79" s="143">
        <f t="shared" si="9"/>
        <v>77.275862068965509</v>
      </c>
      <c r="I79" s="142">
        <v>0.87</v>
      </c>
      <c r="J79" s="117"/>
      <c r="K79" s="118"/>
      <c r="L79" s="117"/>
      <c r="M79" s="119"/>
      <c r="N79" s="290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s="11" customFormat="1" ht="10.199999999999999">
      <c r="A80" s="115" t="s">
        <v>112</v>
      </c>
      <c r="B80" s="142">
        <v>14.1</v>
      </c>
      <c r="C80" s="143">
        <f t="shared" si="8"/>
        <v>-0.39250323136579068</v>
      </c>
      <c r="D80" s="142">
        <v>23.21</v>
      </c>
      <c r="E80" s="142">
        <v>12.37</v>
      </c>
      <c r="F80" s="143">
        <f t="shared" si="9"/>
        <v>-0.53496240601503764</v>
      </c>
      <c r="G80" s="142">
        <v>26.6</v>
      </c>
      <c r="H80" s="143">
        <f t="shared" si="9"/>
        <v>3.0672782874617743</v>
      </c>
      <c r="I80" s="142">
        <v>6.54</v>
      </c>
      <c r="J80" s="117"/>
      <c r="K80" s="118"/>
      <c r="L80" s="117"/>
      <c r="M80" s="119"/>
      <c r="N80" s="290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s="11" customFormat="1" ht="10.199999999999999">
      <c r="A81" s="115" t="s">
        <v>113</v>
      </c>
      <c r="B81" s="142">
        <v>5.73</v>
      </c>
      <c r="C81" s="143">
        <f t="shared" si="8"/>
        <v>-0.4532442748091603</v>
      </c>
      <c r="D81" s="142">
        <v>10.48</v>
      </c>
      <c r="E81" s="142">
        <v>4.4000000000000004</v>
      </c>
      <c r="F81" s="143">
        <f t="shared" si="9"/>
        <v>-0.30926216640502346</v>
      </c>
      <c r="G81" s="142">
        <v>6.37</v>
      </c>
      <c r="H81" s="143">
        <f t="shared" si="9"/>
        <v>-0.22317073170731694</v>
      </c>
      <c r="I81" s="142">
        <v>8.1999999999999993</v>
      </c>
      <c r="J81" s="117"/>
      <c r="K81" s="118"/>
      <c r="L81" s="117"/>
      <c r="M81" s="119"/>
      <c r="N81" s="290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s="11" customFormat="1" ht="10.199999999999999">
      <c r="A82" s="115" t="s">
        <v>114</v>
      </c>
      <c r="B82" s="142">
        <v>1.91</v>
      </c>
      <c r="C82" s="143">
        <f t="shared" si="8"/>
        <v>-0.61569416498993967</v>
      </c>
      <c r="D82" s="142">
        <v>4.97</v>
      </c>
      <c r="E82" s="142">
        <v>1.81</v>
      </c>
      <c r="F82" s="143">
        <f t="shared" si="9"/>
        <v>-0.58581235697940504</v>
      </c>
      <c r="G82" s="142">
        <v>4.37</v>
      </c>
      <c r="H82" s="143">
        <f t="shared" si="9"/>
        <v>1.4277777777777776</v>
      </c>
      <c r="I82" s="142">
        <v>1.8</v>
      </c>
      <c r="J82" s="117"/>
      <c r="K82" s="118"/>
      <c r="L82" s="117"/>
      <c r="M82" s="119"/>
      <c r="N82" s="290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s="11" customFormat="1" ht="10.199999999999999">
      <c r="A83" s="115" t="s">
        <v>115</v>
      </c>
      <c r="B83" s="142">
        <v>0.01</v>
      </c>
      <c r="C83" s="143">
        <f t="shared" si="8"/>
        <v>-0.5</v>
      </c>
      <c r="D83" s="142">
        <v>0.02</v>
      </c>
      <c r="E83" s="142">
        <v>0</v>
      </c>
      <c r="F83" s="143">
        <f t="shared" si="9"/>
        <v>-1</v>
      </c>
      <c r="G83" s="142">
        <v>0.02</v>
      </c>
      <c r="H83" s="143">
        <f t="shared" si="9"/>
        <v>-0.60000000000000009</v>
      </c>
      <c r="I83" s="142">
        <v>0.05</v>
      </c>
      <c r="J83" s="117"/>
      <c r="K83" s="118"/>
      <c r="L83" s="117"/>
      <c r="M83" s="119"/>
      <c r="N83" s="290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s="11" customFormat="1" ht="10.199999999999999">
      <c r="A84" s="115" t="s">
        <v>116</v>
      </c>
      <c r="B84" s="142">
        <v>1.98</v>
      </c>
      <c r="C84" s="143">
        <f t="shared" si="8"/>
        <v>98</v>
      </c>
      <c r="D84" s="142">
        <v>0.02</v>
      </c>
      <c r="E84" s="142">
        <v>1.73</v>
      </c>
      <c r="F84" s="143"/>
      <c r="G84" s="142">
        <v>0</v>
      </c>
      <c r="H84" s="143"/>
      <c r="I84" s="142">
        <v>0</v>
      </c>
      <c r="J84" s="117"/>
      <c r="K84" s="118"/>
      <c r="L84" s="117"/>
      <c r="M84" s="119"/>
      <c r="N84" s="290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s="11" customFormat="1" ht="10.199999999999999">
      <c r="A85" s="115" t="s">
        <v>117</v>
      </c>
      <c r="B85" s="142">
        <v>0</v>
      </c>
      <c r="C85" s="143">
        <f t="shared" si="8"/>
        <v>-1</v>
      </c>
      <c r="D85" s="142">
        <v>0.03</v>
      </c>
      <c r="E85" s="142">
        <v>0</v>
      </c>
      <c r="F85" s="143">
        <f t="shared" si="9"/>
        <v>-1</v>
      </c>
      <c r="G85" s="142">
        <v>0.03</v>
      </c>
      <c r="H85" s="143">
        <f t="shared" si="9"/>
        <v>-0.25</v>
      </c>
      <c r="I85" s="142">
        <v>0.04</v>
      </c>
      <c r="J85" s="117"/>
      <c r="K85" s="118"/>
      <c r="L85" s="117"/>
      <c r="M85" s="119"/>
      <c r="N85" s="290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s="11" customFormat="1" ht="10.199999999999999">
      <c r="A86" s="115" t="s">
        <v>118</v>
      </c>
      <c r="B86" s="142">
        <v>22.76</v>
      </c>
      <c r="C86" s="143">
        <f t="shared" si="8"/>
        <v>-0.51053763440860211</v>
      </c>
      <c r="D86" s="142">
        <v>46.5</v>
      </c>
      <c r="E86" s="142">
        <v>26.72</v>
      </c>
      <c r="F86" s="143">
        <f t="shared" si="9"/>
        <v>0.88567395906845436</v>
      </c>
      <c r="G86" s="142">
        <v>14.17</v>
      </c>
      <c r="H86" s="143">
        <f t="shared" si="9"/>
        <v>-0.70626036484245436</v>
      </c>
      <c r="I86" s="142">
        <v>48.24</v>
      </c>
      <c r="J86" s="117"/>
      <c r="K86" s="118"/>
      <c r="L86" s="117"/>
      <c r="M86" s="119"/>
      <c r="N86" s="290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s="11" customFormat="1" ht="10.199999999999999">
      <c r="A87" s="115" t="s">
        <v>119</v>
      </c>
      <c r="B87" s="144">
        <v>17.79</v>
      </c>
      <c r="C87" s="143">
        <f t="shared" si="8"/>
        <v>-0.56630911750365676</v>
      </c>
      <c r="D87" s="144">
        <v>41.02</v>
      </c>
      <c r="E87" s="144">
        <v>16.440000000000001</v>
      </c>
      <c r="F87" s="143">
        <f t="shared" si="9"/>
        <v>-0.68969422423556059</v>
      </c>
      <c r="G87" s="144">
        <v>52.98</v>
      </c>
      <c r="H87" s="143">
        <f t="shared" si="9"/>
        <v>-7.5231279455402422E-2</v>
      </c>
      <c r="I87" s="144">
        <v>57.29</v>
      </c>
      <c r="J87" s="117"/>
      <c r="K87" s="122"/>
      <c r="L87" s="117"/>
      <c r="M87" s="123"/>
      <c r="N87" s="290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s="11" customFormat="1" ht="10.199999999999999">
      <c r="A88" s="115" t="s">
        <v>120</v>
      </c>
      <c r="B88" s="142">
        <v>20.14</v>
      </c>
      <c r="C88" s="143">
        <f t="shared" si="8"/>
        <v>0.82097649186256771</v>
      </c>
      <c r="D88" s="142">
        <v>11.06</v>
      </c>
      <c r="E88" s="142">
        <v>21.94</v>
      </c>
      <c r="F88" s="143">
        <f t="shared" si="9"/>
        <v>4.5685279187817267</v>
      </c>
      <c r="G88" s="142">
        <v>3.94</v>
      </c>
      <c r="H88" s="276" t="s">
        <v>14</v>
      </c>
      <c r="I88" s="142">
        <v>0.01</v>
      </c>
      <c r="J88" s="117"/>
      <c r="K88" s="118"/>
      <c r="L88" s="117"/>
      <c r="M88" s="119"/>
      <c r="N88" s="290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s="3" customFormat="1" ht="10.199999999999999">
      <c r="A89" s="115" t="s">
        <v>121</v>
      </c>
      <c r="B89" s="142">
        <v>1002.28</v>
      </c>
      <c r="C89" s="143">
        <f t="shared" si="8"/>
        <v>-0.14550492348352451</v>
      </c>
      <c r="D89" s="142">
        <v>1172.95</v>
      </c>
      <c r="E89" s="142">
        <v>1009.25</v>
      </c>
      <c r="F89" s="143">
        <f t="shared" si="9"/>
        <v>-0.18281337295450306</v>
      </c>
      <c r="G89" s="142">
        <v>1235.03</v>
      </c>
      <c r="H89" s="143">
        <f t="shared" si="9"/>
        <v>-1.3199632455754839E-2</v>
      </c>
      <c r="I89" s="142">
        <v>1251.55</v>
      </c>
      <c r="J89" s="117"/>
      <c r="K89" s="118"/>
      <c r="L89" s="117"/>
      <c r="M89" s="119"/>
      <c r="N89" s="290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11" customFormat="1" ht="10.199999999999999">
      <c r="A90" s="115" t="s">
        <v>122</v>
      </c>
      <c r="B90" s="142">
        <v>17.3</v>
      </c>
      <c r="C90" s="143">
        <f t="shared" si="8"/>
        <v>-0.19721577726218098</v>
      </c>
      <c r="D90" s="142">
        <v>21.55</v>
      </c>
      <c r="E90" s="142">
        <v>18.670000000000002</v>
      </c>
      <c r="F90" s="143">
        <f t="shared" si="9"/>
        <v>-0.17680776014109334</v>
      </c>
      <c r="G90" s="142">
        <v>22.68</v>
      </c>
      <c r="H90" s="143">
        <f t="shared" si="9"/>
        <v>13.086956521739129</v>
      </c>
      <c r="I90" s="142">
        <v>1.61</v>
      </c>
      <c r="J90" s="117"/>
      <c r="K90" s="118"/>
      <c r="L90" s="117"/>
      <c r="M90" s="119"/>
      <c r="N90" s="290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s="11" customFormat="1" ht="10.199999999999999">
      <c r="A91" s="115" t="s">
        <v>123</v>
      </c>
      <c r="B91" s="142">
        <v>66.959999999999994</v>
      </c>
      <c r="C91" s="143">
        <f t="shared" si="8"/>
        <v>-0.21000471920717334</v>
      </c>
      <c r="D91" s="142">
        <v>84.76</v>
      </c>
      <c r="E91" s="142">
        <v>69.260000000000005</v>
      </c>
      <c r="F91" s="143">
        <f t="shared" si="9"/>
        <v>-0.18613396004700344</v>
      </c>
      <c r="G91" s="142">
        <v>85.1</v>
      </c>
      <c r="H91" s="143">
        <f t="shared" si="9"/>
        <v>3.0485252140818266</v>
      </c>
      <c r="I91" s="142">
        <v>21.02</v>
      </c>
      <c r="J91" s="117"/>
      <c r="K91" s="118"/>
      <c r="L91" s="117"/>
      <c r="M91" s="119"/>
      <c r="N91" s="290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s="11" customFormat="1" ht="10.199999999999999">
      <c r="A92" s="115" t="s">
        <v>124</v>
      </c>
      <c r="B92" s="142">
        <v>377.36</v>
      </c>
      <c r="C92" s="143">
        <f t="shared" si="8"/>
        <v>-0.40127247052850357</v>
      </c>
      <c r="D92" s="142">
        <v>630.27</v>
      </c>
      <c r="E92" s="142">
        <v>493.66</v>
      </c>
      <c r="F92" s="143">
        <f t="shared" si="9"/>
        <v>-3.6309686487330572E-2</v>
      </c>
      <c r="G92" s="142">
        <v>512.26</v>
      </c>
      <c r="H92" s="143">
        <f t="shared" si="9"/>
        <v>-5.9417575557269342E-2</v>
      </c>
      <c r="I92" s="142">
        <v>544.62</v>
      </c>
      <c r="J92" s="117"/>
      <c r="K92" s="118"/>
      <c r="L92" s="117"/>
      <c r="M92" s="119"/>
      <c r="N92" s="290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s="11" customFormat="1" ht="10.199999999999999">
      <c r="A93" s="115" t="s">
        <v>125</v>
      </c>
      <c r="B93" s="142">
        <v>409.07</v>
      </c>
      <c r="C93" s="143">
        <f t="shared" si="8"/>
        <v>-0.29079403606102627</v>
      </c>
      <c r="D93" s="142">
        <v>576.79999999999995</v>
      </c>
      <c r="E93" s="142">
        <v>453.46</v>
      </c>
      <c r="F93" s="143">
        <f t="shared" si="9"/>
        <v>-0.19124649984840114</v>
      </c>
      <c r="G93" s="142">
        <v>560.69000000000005</v>
      </c>
      <c r="H93" s="143">
        <f t="shared" si="9"/>
        <v>-3.7326373984856387E-2</v>
      </c>
      <c r="I93" s="142">
        <v>582.42999999999995</v>
      </c>
      <c r="J93" s="124"/>
      <c r="K93" s="118"/>
      <c r="L93" s="124"/>
      <c r="M93" s="119"/>
      <c r="N93" s="290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s="11" customFormat="1" ht="10.199999999999999">
      <c r="A94" s="115" t="s">
        <v>126</v>
      </c>
      <c r="B94" s="145">
        <v>47.83</v>
      </c>
      <c r="C94" s="143">
        <f t="shared" si="8"/>
        <v>-0.4848125807841448</v>
      </c>
      <c r="D94" s="145">
        <v>92.84</v>
      </c>
      <c r="E94" s="145">
        <v>59.12</v>
      </c>
      <c r="F94" s="143">
        <f t="shared" si="9"/>
        <v>-0.40070957932083129</v>
      </c>
      <c r="G94" s="145">
        <v>98.65</v>
      </c>
      <c r="H94" s="143">
        <f t="shared" si="9"/>
        <v>-0.11864558206021625</v>
      </c>
      <c r="I94" s="145">
        <v>111.93</v>
      </c>
      <c r="J94" s="117"/>
      <c r="K94" s="127"/>
      <c r="L94" s="117"/>
      <c r="M94" s="126"/>
      <c r="N94" s="290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s="11" customFormat="1" ht="10.199999999999999">
      <c r="A95" s="115" t="s">
        <v>127</v>
      </c>
      <c r="B95" s="145">
        <v>235.87</v>
      </c>
      <c r="C95" s="143">
        <f t="shared" si="8"/>
        <v>-2.1083212284706332E-2</v>
      </c>
      <c r="D95" s="145">
        <v>240.95</v>
      </c>
      <c r="E95" s="145">
        <v>260.26</v>
      </c>
      <c r="F95" s="143">
        <f t="shared" si="9"/>
        <v>0.41645803853270924</v>
      </c>
      <c r="G95" s="145">
        <v>183.74</v>
      </c>
      <c r="H95" s="143">
        <f t="shared" si="9"/>
        <v>0.70524361948955927</v>
      </c>
      <c r="I95" s="145">
        <v>107.75</v>
      </c>
      <c r="J95" s="117"/>
      <c r="K95" s="127"/>
      <c r="L95" s="117"/>
      <c r="M95" s="126"/>
      <c r="N95" s="290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s="11" customFormat="1" ht="10.199999999999999">
      <c r="A96" s="123" t="s">
        <v>106</v>
      </c>
      <c r="B96" s="146">
        <f>B74</f>
        <v>1226.1300000000001</v>
      </c>
      <c r="C96" s="143">
        <f t="shared" si="8"/>
        <v>2.8054700797370602E-2</v>
      </c>
      <c r="D96" s="146">
        <f>D74</f>
        <v>1192.67</v>
      </c>
      <c r="E96" s="146">
        <f>E74</f>
        <v>1161.8699999999999</v>
      </c>
      <c r="F96" s="143">
        <f t="shared" si="9"/>
        <v>5.7129599301233736E-2</v>
      </c>
      <c r="G96" s="146">
        <f>G74</f>
        <v>1099.08</v>
      </c>
      <c r="H96" s="143">
        <f t="shared" si="9"/>
        <v>8.8801711840228004E-2</v>
      </c>
      <c r="I96" s="146">
        <f>I74</f>
        <v>1009.44</v>
      </c>
      <c r="J96" s="117"/>
      <c r="K96" s="129"/>
      <c r="L96" s="117"/>
      <c r="M96" s="126"/>
      <c r="N96" s="290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s="11" customFormat="1" ht="10.199999999999999">
      <c r="A97" s="123" t="s">
        <v>107</v>
      </c>
      <c r="B97" s="146">
        <f>B75</f>
        <v>477.39</v>
      </c>
      <c r="C97" s="143">
        <f t="shared" si="8"/>
        <v>-0.11915788696791341</v>
      </c>
      <c r="D97" s="146">
        <f>D75</f>
        <v>541.97</v>
      </c>
      <c r="E97" s="146">
        <f>E75</f>
        <v>505.2</v>
      </c>
      <c r="F97" s="143">
        <f t="shared" si="9"/>
        <v>-2.7807177908207414E-2</v>
      </c>
      <c r="G97" s="146">
        <f>G75</f>
        <v>519.65</v>
      </c>
      <c r="H97" s="143">
        <f t="shared" si="9"/>
        <v>0.27433910441904952</v>
      </c>
      <c r="I97" s="146">
        <f>I75</f>
        <v>407.78</v>
      </c>
      <c r="J97" s="117"/>
      <c r="K97" s="129"/>
      <c r="L97" s="117"/>
      <c r="M97" s="126"/>
      <c r="N97" s="290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s="3" customFormat="1" ht="10.199999999999999">
      <c r="A98" s="123" t="s">
        <v>128</v>
      </c>
      <c r="B98" s="144">
        <f>B76+B77+B78+B79+B80+B81+B82+B83+B84+B85</f>
        <v>169.63999999999996</v>
      </c>
      <c r="C98" s="143">
        <f t="shared" si="8"/>
        <v>-0.16499310887970109</v>
      </c>
      <c r="D98" s="144">
        <f>D76+D77+D78+D79+D80+D81+D82+D83+D84+D85</f>
        <v>203.16000000000003</v>
      </c>
      <c r="E98" s="144">
        <f>E76+E77+E78+E79+E80+E81+E82+E83+E84+E85</f>
        <v>157.38</v>
      </c>
      <c r="F98" s="143">
        <f t="shared" si="9"/>
        <v>-0.14112639161755081</v>
      </c>
      <c r="G98" s="144">
        <f>G76+G77+G78+G79+G80+G81+G82+G83+G84+G85</f>
        <v>183.24</v>
      </c>
      <c r="H98" s="143">
        <f t="shared" si="9"/>
        <v>2.1264289370414611</v>
      </c>
      <c r="I98" s="144">
        <f>I76+I77+I78+I79+I80+I81+I82+I83+I84+I85</f>
        <v>58.609999999999992</v>
      </c>
      <c r="J98" s="117"/>
      <c r="K98" s="122"/>
      <c r="L98" s="117"/>
      <c r="M98" s="130"/>
      <c r="N98" s="290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3" customFormat="1" ht="10.199999999999999">
      <c r="A99" s="123" t="s">
        <v>129</v>
      </c>
      <c r="B99" s="144">
        <f>B86+B87+B88+B89+B90+B91</f>
        <v>1147.23</v>
      </c>
      <c r="C99" s="143">
        <f t="shared" si="8"/>
        <v>-0.16737066713116178</v>
      </c>
      <c r="D99" s="144">
        <f>D86+D87+D88+D89+D90+D91</f>
        <v>1377.84</v>
      </c>
      <c r="E99" s="144">
        <f>E86+E87+E88+E89+E90+E91</f>
        <v>1162.28</v>
      </c>
      <c r="F99" s="143">
        <f t="shared" si="9"/>
        <v>-0.17796166631303478</v>
      </c>
      <c r="G99" s="268">
        <f>G86+G87+G88+G89+G90+G91</f>
        <v>1413.8999999999999</v>
      </c>
      <c r="H99" s="143">
        <f t="shared" si="9"/>
        <v>2.477314237671413E-2</v>
      </c>
      <c r="I99" s="268">
        <f>I86+I87+I88+I89+I90+I91</f>
        <v>1379.7199999999998</v>
      </c>
      <c r="J99" s="117"/>
      <c r="K99" s="122"/>
      <c r="L99" s="117"/>
      <c r="M99" s="130"/>
      <c r="N99" s="290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11" customFormat="1" ht="10.199999999999999">
      <c r="A100" s="123" t="s">
        <v>130</v>
      </c>
      <c r="B100" s="144">
        <f>B92+B93+B94+B95</f>
        <v>1070.1300000000001</v>
      </c>
      <c r="C100" s="143">
        <f t="shared" si="8"/>
        <v>-0.30549822826213924</v>
      </c>
      <c r="D100" s="144">
        <f>D92+D93+D94+D95</f>
        <v>1540.86</v>
      </c>
      <c r="E100" s="144">
        <f>E92+E93+E94+E95</f>
        <v>1266.5</v>
      </c>
      <c r="F100" s="270">
        <f t="shared" si="9"/>
        <v>-6.5548128144967466E-2</v>
      </c>
      <c r="G100" s="269">
        <f>G92+G93+G94+G95</f>
        <v>1355.3400000000001</v>
      </c>
      <c r="H100" s="270">
        <f t="shared" si="9"/>
        <v>6.3932636831436351E-3</v>
      </c>
      <c r="I100" s="269">
        <f>I92+I93+I94+I95</f>
        <v>1346.73</v>
      </c>
      <c r="J100" s="117"/>
      <c r="K100" s="122"/>
      <c r="L100" s="117"/>
      <c r="M100" s="130"/>
      <c r="N100" s="290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s="109" customFormat="1" ht="10.199999999999999" customHeight="1">
      <c r="A101" s="105" t="s">
        <v>135</v>
      </c>
      <c r="B101" s="106">
        <f>SUM(B96:B100)</f>
        <v>4090.52</v>
      </c>
      <c r="C101" s="271">
        <f t="shared" si="8"/>
        <v>-0.15772263976114487</v>
      </c>
      <c r="D101" s="106">
        <f>SUM(D96:D100)</f>
        <v>4856.5</v>
      </c>
      <c r="E101" s="106">
        <f>SUM(E96:E100)</f>
        <v>4253.2299999999996</v>
      </c>
      <c r="F101" s="271">
        <f t="shared" ref="F101:H101" si="10">IF((+E101/G101)&lt;0,"n.m.",IF(E101&lt;0,(+E101/G101-1)*-1,(+E101/G101-1)))</f>
        <v>-6.9561450906871602E-2</v>
      </c>
      <c r="G101" s="106">
        <f>SUM(G96:G100)</f>
        <v>4571.21</v>
      </c>
      <c r="H101" s="271">
        <f t="shared" si="10"/>
        <v>8.7792817232549947E-2</v>
      </c>
      <c r="I101" s="106">
        <f>SUM(I96:I100)</f>
        <v>4202.28</v>
      </c>
      <c r="J101" s="107">
        <f>(I101-K101)/K101</f>
        <v>4.059846520715242E-2</v>
      </c>
      <c r="K101" s="106">
        <v>4038.33</v>
      </c>
      <c r="L101" s="107">
        <f>(K101-M101)/M101</f>
        <v>6.7708553661322432E-2</v>
      </c>
      <c r="M101" s="106">
        <v>3782.24</v>
      </c>
      <c r="N101" s="290"/>
    </row>
    <row r="102" spans="1:24" ht="12" customHeight="1">
      <c r="K102" s="150"/>
      <c r="L102" s="150"/>
      <c r="M102" s="150"/>
    </row>
    <row r="103" spans="1:24" ht="12" customHeight="1">
      <c r="K103" s="150"/>
      <c r="L103" s="150"/>
      <c r="M103" s="150"/>
    </row>
    <row r="104" spans="1:24" ht="12" customHeight="1">
      <c r="K104" s="150"/>
      <c r="L104" s="150"/>
      <c r="M104" s="150"/>
    </row>
    <row r="105" spans="1:24" ht="12" customHeight="1">
      <c r="K105" s="150"/>
      <c r="L105" s="150"/>
      <c r="M105" s="150"/>
    </row>
    <row r="106" spans="1:24" ht="12" customHeight="1">
      <c r="K106" s="150"/>
      <c r="L106" s="150"/>
      <c r="M106" s="150"/>
    </row>
    <row r="107" spans="1:24" ht="12" customHeight="1">
      <c r="K107" s="150"/>
      <c r="L107" s="150"/>
      <c r="M107" s="150"/>
    </row>
    <row r="108" spans="1:24" ht="12" customHeight="1">
      <c r="K108" s="150"/>
      <c r="L108" s="150"/>
      <c r="M108" s="150"/>
    </row>
    <row r="109" spans="1:24" ht="12" customHeight="1">
      <c r="K109" s="150"/>
      <c r="L109" s="150"/>
      <c r="M109" s="150"/>
    </row>
    <row r="110" spans="1:24" ht="12" customHeight="1">
      <c r="K110" s="150"/>
      <c r="L110" s="150"/>
      <c r="M110" s="150"/>
    </row>
    <row r="111" spans="1:24" ht="12" customHeight="1">
      <c r="K111" s="150"/>
      <c r="L111" s="150"/>
      <c r="M111" s="150"/>
    </row>
    <row r="112" spans="1:24" ht="12" customHeight="1">
      <c r="K112" s="150"/>
      <c r="L112" s="150"/>
      <c r="M112" s="150"/>
    </row>
    <row r="113" spans="11:13" ht="12" customHeight="1">
      <c r="K113" s="150"/>
      <c r="L113" s="150"/>
      <c r="M113" s="150"/>
    </row>
    <row r="114" spans="11:13" ht="12" customHeight="1">
      <c r="K114" s="150"/>
      <c r="L114" s="150"/>
      <c r="M114" s="150"/>
    </row>
    <row r="115" spans="11:13" ht="12" customHeight="1">
      <c r="K115" s="150"/>
      <c r="L115" s="150"/>
      <c r="M115" s="150"/>
    </row>
    <row r="116" spans="11:13" ht="12" customHeight="1">
      <c r="K116" s="150"/>
      <c r="L116" s="150"/>
      <c r="M116" s="150"/>
    </row>
    <row r="117" spans="11:13" ht="12" customHeight="1">
      <c r="K117" s="150"/>
      <c r="L117" s="150"/>
      <c r="M117" s="150"/>
    </row>
    <row r="118" spans="11:13" ht="12" customHeight="1">
      <c r="K118" s="150"/>
      <c r="L118" s="150"/>
      <c r="M118" s="150"/>
    </row>
    <row r="119" spans="11:13" ht="12" customHeight="1">
      <c r="K119" s="150"/>
      <c r="L119" s="150"/>
      <c r="M119" s="150"/>
    </row>
    <row r="120" spans="11:13" ht="12" customHeight="1">
      <c r="K120" s="150"/>
      <c r="L120" s="150"/>
      <c r="M120" s="150"/>
    </row>
    <row r="121" spans="11:13" ht="12" customHeight="1">
      <c r="K121" s="150"/>
      <c r="L121" s="150"/>
      <c r="M121" s="150"/>
    </row>
    <row r="122" spans="11:13" ht="12" customHeight="1">
      <c r="K122" s="150"/>
      <c r="L122" s="150"/>
      <c r="M122" s="150"/>
    </row>
    <row r="123" spans="11:13" ht="12" customHeight="1">
      <c r="K123" s="150"/>
      <c r="L123" s="150"/>
      <c r="M123" s="150"/>
    </row>
    <row r="124" spans="11:13" ht="12" customHeight="1">
      <c r="K124" s="150"/>
      <c r="L124" s="150"/>
      <c r="M124" s="150"/>
    </row>
    <row r="125" spans="11:13" ht="12" customHeight="1">
      <c r="K125" s="150"/>
      <c r="L125" s="150"/>
      <c r="M125" s="150"/>
    </row>
    <row r="126" spans="11:13" ht="12" customHeight="1">
      <c r="K126" s="150"/>
      <c r="L126" s="150"/>
      <c r="M126" s="150"/>
    </row>
    <row r="127" spans="11:13" ht="12" customHeight="1">
      <c r="K127" s="150"/>
      <c r="L127" s="150"/>
      <c r="M127" s="150"/>
    </row>
    <row r="128" spans="11:13" ht="12" customHeight="1">
      <c r="K128" s="150"/>
      <c r="L128" s="150"/>
      <c r="M128" s="150"/>
    </row>
    <row r="129" spans="11:13" ht="12" customHeight="1">
      <c r="K129" s="150"/>
      <c r="L129" s="150"/>
      <c r="M129" s="150"/>
    </row>
    <row r="130" spans="11:13" ht="12" customHeight="1">
      <c r="K130" s="150"/>
      <c r="L130" s="150"/>
      <c r="M130" s="150"/>
    </row>
    <row r="131" spans="11:13" ht="12" customHeight="1">
      <c r="K131" s="150"/>
      <c r="L131" s="150"/>
      <c r="M131" s="150"/>
    </row>
    <row r="132" spans="11:13" ht="12" customHeight="1">
      <c r="K132" s="150"/>
      <c r="L132" s="150"/>
      <c r="M132" s="150"/>
    </row>
    <row r="133" spans="11:13" ht="12" customHeight="1">
      <c r="K133" s="150"/>
      <c r="L133" s="150"/>
      <c r="M133" s="150"/>
    </row>
    <row r="134" spans="11:13" ht="12" customHeight="1">
      <c r="K134" s="150"/>
      <c r="L134" s="150"/>
      <c r="M134" s="150"/>
    </row>
    <row r="135" spans="11:13" ht="12" customHeight="1">
      <c r="K135" s="150"/>
      <c r="L135" s="150"/>
      <c r="M135" s="150"/>
    </row>
    <row r="136" spans="11:13" ht="12" customHeight="1">
      <c r="K136" s="150"/>
      <c r="L136" s="150"/>
      <c r="M136" s="150"/>
    </row>
    <row r="137" spans="11:13" ht="12" customHeight="1">
      <c r="K137" s="150"/>
      <c r="L137" s="150"/>
      <c r="M137" s="150"/>
    </row>
    <row r="138" spans="11:13" ht="12" customHeight="1">
      <c r="K138" s="150"/>
      <c r="L138" s="150"/>
      <c r="M138" s="150"/>
    </row>
    <row r="139" spans="11:13" ht="12" customHeight="1">
      <c r="K139" s="150"/>
      <c r="L139" s="150"/>
      <c r="M139" s="150"/>
    </row>
    <row r="140" spans="11:13" ht="12" customHeight="1">
      <c r="K140" s="150"/>
      <c r="L140" s="150"/>
      <c r="M140" s="150"/>
    </row>
    <row r="141" spans="11:13" ht="12" customHeight="1">
      <c r="K141" s="150"/>
      <c r="L141" s="150"/>
      <c r="M141" s="150"/>
    </row>
    <row r="142" spans="11:13" ht="12" customHeight="1">
      <c r="K142" s="150"/>
      <c r="L142" s="150"/>
      <c r="M142" s="150"/>
    </row>
    <row r="143" spans="11:13" ht="12" customHeight="1">
      <c r="K143" s="150"/>
      <c r="L143" s="150"/>
      <c r="M143" s="150"/>
    </row>
    <row r="144" spans="11:13" ht="12" customHeight="1">
      <c r="K144" s="150"/>
      <c r="L144" s="150"/>
      <c r="M144" s="150"/>
    </row>
    <row r="145" spans="11:13" ht="12" customHeight="1">
      <c r="K145" s="150"/>
      <c r="L145" s="150"/>
      <c r="M145" s="150"/>
    </row>
    <row r="146" spans="11:13" ht="12" customHeight="1">
      <c r="K146" s="150"/>
      <c r="L146" s="150"/>
      <c r="M146" s="150"/>
    </row>
    <row r="147" spans="11:13" ht="12" customHeight="1">
      <c r="K147" s="150"/>
      <c r="L147" s="150"/>
      <c r="M147" s="150"/>
    </row>
    <row r="148" spans="11:13" ht="12" customHeight="1">
      <c r="K148" s="150"/>
      <c r="L148" s="150"/>
      <c r="M148" s="150"/>
    </row>
    <row r="149" spans="11:13" ht="12" customHeight="1">
      <c r="K149" s="150"/>
      <c r="L149" s="150"/>
      <c r="M149" s="150"/>
    </row>
    <row r="150" spans="11:13" ht="12" customHeight="1">
      <c r="K150" s="150"/>
      <c r="L150" s="150"/>
      <c r="M150" s="150"/>
    </row>
    <row r="151" spans="11:13" ht="12" customHeight="1">
      <c r="K151" s="150"/>
      <c r="L151" s="150"/>
      <c r="M151" s="150"/>
    </row>
    <row r="152" spans="11:13" ht="12" customHeight="1">
      <c r="K152" s="150"/>
      <c r="L152" s="150"/>
      <c r="M152" s="150"/>
    </row>
    <row r="153" spans="11:13" ht="12" customHeight="1">
      <c r="K153" s="150"/>
      <c r="L153" s="150"/>
      <c r="M153" s="150"/>
    </row>
    <row r="154" spans="11:13" ht="12" customHeight="1">
      <c r="K154" s="150"/>
      <c r="L154" s="150"/>
      <c r="M154" s="150"/>
    </row>
    <row r="155" spans="11:13" ht="12" customHeight="1">
      <c r="K155" s="150"/>
      <c r="L155" s="150"/>
      <c r="M155" s="150"/>
    </row>
    <row r="156" spans="11:13" ht="12" customHeight="1">
      <c r="K156" s="150"/>
      <c r="L156" s="150"/>
      <c r="M156" s="150"/>
    </row>
    <row r="157" spans="11:13" ht="12" customHeight="1">
      <c r="K157" s="150"/>
      <c r="L157" s="150"/>
      <c r="M157" s="150"/>
    </row>
    <row r="158" spans="11:13" ht="12" customHeight="1">
      <c r="K158" s="150"/>
      <c r="L158" s="150"/>
      <c r="M158" s="150"/>
    </row>
    <row r="159" spans="11:13" ht="12" customHeight="1">
      <c r="K159" s="150"/>
      <c r="L159" s="150"/>
      <c r="M159" s="150"/>
    </row>
    <row r="160" spans="11:13" ht="12" customHeight="1">
      <c r="K160" s="150"/>
      <c r="L160" s="150"/>
      <c r="M160" s="150"/>
    </row>
    <row r="161" spans="11:13" ht="12" customHeight="1">
      <c r="K161" s="150"/>
      <c r="L161" s="150"/>
      <c r="M161" s="150"/>
    </row>
    <row r="162" spans="11:13" ht="12" customHeight="1">
      <c r="K162" s="150"/>
      <c r="L162" s="150"/>
      <c r="M162" s="150"/>
    </row>
    <row r="163" spans="11:13" ht="12" customHeight="1">
      <c r="K163" s="150"/>
      <c r="L163" s="150"/>
      <c r="M163" s="150"/>
    </row>
    <row r="164" spans="11:13" ht="12" customHeight="1">
      <c r="K164" s="150"/>
      <c r="L164" s="150"/>
      <c r="M164" s="150"/>
    </row>
    <row r="165" spans="11:13" ht="12" customHeight="1">
      <c r="K165" s="150"/>
      <c r="L165" s="150"/>
      <c r="M165" s="150"/>
    </row>
    <row r="166" spans="11:13" ht="12" customHeight="1">
      <c r="K166" s="150"/>
      <c r="L166" s="150"/>
      <c r="M166" s="150"/>
    </row>
    <row r="167" spans="11:13" ht="12" customHeight="1">
      <c r="K167" s="150"/>
      <c r="L167" s="150"/>
      <c r="M167" s="150"/>
    </row>
    <row r="168" spans="11:13" ht="12" customHeight="1">
      <c r="K168" s="150"/>
      <c r="L168" s="150"/>
      <c r="M168" s="150"/>
    </row>
    <row r="169" spans="11:13" ht="12" customHeight="1">
      <c r="K169" s="150"/>
      <c r="L169" s="150"/>
      <c r="M169" s="150"/>
    </row>
    <row r="170" spans="11:13" ht="12" customHeight="1">
      <c r="K170" s="150"/>
      <c r="L170" s="150"/>
      <c r="M170" s="150"/>
    </row>
    <row r="171" spans="11:13" ht="12" customHeight="1">
      <c r="K171" s="150"/>
      <c r="L171" s="150"/>
      <c r="M171" s="150"/>
    </row>
    <row r="172" spans="11:13" ht="12" customHeight="1">
      <c r="K172" s="150"/>
      <c r="L172" s="150"/>
      <c r="M172" s="150"/>
    </row>
    <row r="173" spans="11:13" ht="12" customHeight="1">
      <c r="K173" s="150"/>
      <c r="L173" s="150"/>
      <c r="M173" s="150"/>
    </row>
    <row r="174" spans="11:13" ht="12" customHeight="1">
      <c r="K174" s="150"/>
      <c r="L174" s="150"/>
      <c r="M174" s="150"/>
    </row>
    <row r="175" spans="11:13" ht="12" customHeight="1">
      <c r="K175" s="150"/>
      <c r="L175" s="150"/>
      <c r="M175" s="150"/>
    </row>
    <row r="176" spans="11:13" ht="12" customHeight="1">
      <c r="K176" s="150"/>
      <c r="L176" s="150"/>
      <c r="M176" s="150"/>
    </row>
    <row r="177" spans="11:13" ht="12" customHeight="1">
      <c r="K177" s="150"/>
      <c r="L177" s="150"/>
      <c r="M177" s="150"/>
    </row>
    <row r="178" spans="11:13" ht="12" customHeight="1">
      <c r="K178" s="150"/>
      <c r="L178" s="150"/>
      <c r="M178" s="150"/>
    </row>
    <row r="179" spans="11:13" ht="12" customHeight="1">
      <c r="K179" s="150"/>
      <c r="L179" s="150"/>
      <c r="M179" s="150"/>
    </row>
    <row r="180" spans="11:13" ht="12" customHeight="1">
      <c r="K180" s="150"/>
      <c r="L180" s="150"/>
      <c r="M180" s="150"/>
    </row>
    <row r="181" spans="11:13" ht="12" customHeight="1">
      <c r="K181" s="150"/>
      <c r="L181" s="150"/>
      <c r="M181" s="150"/>
    </row>
    <row r="182" spans="11:13" ht="12" customHeight="1">
      <c r="K182" s="150"/>
      <c r="L182" s="150"/>
      <c r="M182" s="150"/>
    </row>
    <row r="183" spans="11:13" ht="12" customHeight="1">
      <c r="K183" s="150"/>
      <c r="L183" s="150"/>
      <c r="M183" s="150"/>
    </row>
    <row r="184" spans="11:13" ht="12" customHeight="1">
      <c r="K184" s="150"/>
      <c r="L184" s="150"/>
      <c r="M184" s="150"/>
    </row>
    <row r="185" spans="11:13" ht="12" customHeight="1">
      <c r="K185" s="150"/>
      <c r="L185" s="150"/>
      <c r="M185" s="150"/>
    </row>
    <row r="186" spans="11:13" ht="12" customHeight="1">
      <c r="K186" s="150"/>
      <c r="L186" s="150"/>
      <c r="M186" s="150"/>
    </row>
    <row r="187" spans="11:13" ht="12" customHeight="1">
      <c r="K187" s="150"/>
      <c r="L187" s="150"/>
      <c r="M187" s="150"/>
    </row>
    <row r="188" spans="11:13" ht="12" customHeight="1">
      <c r="K188" s="150"/>
      <c r="L188" s="150"/>
      <c r="M188" s="150"/>
    </row>
    <row r="189" spans="11:13" ht="12" customHeight="1">
      <c r="K189" s="150"/>
      <c r="L189" s="150"/>
      <c r="M189" s="150"/>
    </row>
    <row r="190" spans="11:13" ht="12" customHeight="1">
      <c r="K190" s="150"/>
      <c r="L190" s="150"/>
      <c r="M190" s="150"/>
    </row>
    <row r="191" spans="11:13" ht="12" customHeight="1">
      <c r="K191" s="150"/>
      <c r="L191" s="150"/>
      <c r="M191" s="150"/>
    </row>
    <row r="192" spans="11:13" ht="12" customHeight="1">
      <c r="K192" s="150"/>
      <c r="L192" s="150"/>
      <c r="M192" s="150"/>
    </row>
    <row r="193" spans="11:13" ht="12" customHeight="1">
      <c r="K193" s="150"/>
      <c r="L193" s="150"/>
      <c r="M193" s="150"/>
    </row>
    <row r="194" spans="11:13" ht="12" customHeight="1">
      <c r="K194" s="150"/>
      <c r="L194" s="150"/>
      <c r="M194" s="150"/>
    </row>
    <row r="195" spans="11:13" ht="12" customHeight="1">
      <c r="K195" s="150"/>
      <c r="L195" s="150"/>
      <c r="M195" s="150"/>
    </row>
    <row r="196" spans="11:13" ht="12" customHeight="1">
      <c r="K196" s="150"/>
      <c r="L196" s="150"/>
      <c r="M196" s="150"/>
    </row>
    <row r="197" spans="11:13" ht="12" customHeight="1">
      <c r="K197" s="150"/>
      <c r="L197" s="150"/>
      <c r="M197" s="150"/>
    </row>
    <row r="198" spans="11:13" ht="12" customHeight="1">
      <c r="K198" s="150"/>
      <c r="L198" s="150"/>
      <c r="M198" s="150"/>
    </row>
    <row r="199" spans="11:13" ht="12" customHeight="1">
      <c r="K199" s="150"/>
      <c r="L199" s="150"/>
      <c r="M199" s="150"/>
    </row>
    <row r="200" spans="11:13" ht="12" customHeight="1">
      <c r="K200" s="150"/>
      <c r="L200" s="150"/>
      <c r="M200" s="150"/>
    </row>
    <row r="201" spans="11:13" ht="12" customHeight="1">
      <c r="K201" s="150"/>
      <c r="L201" s="150"/>
      <c r="M201" s="150"/>
    </row>
    <row r="202" spans="11:13" ht="12" customHeight="1">
      <c r="K202" s="150"/>
      <c r="L202" s="150"/>
      <c r="M202" s="150"/>
    </row>
    <row r="203" spans="11:13" ht="12" customHeight="1">
      <c r="K203" s="150"/>
      <c r="L203" s="150"/>
      <c r="M203" s="150"/>
    </row>
    <row r="204" spans="11:13" ht="12" customHeight="1">
      <c r="K204" s="150"/>
      <c r="L204" s="150"/>
      <c r="M204" s="150"/>
    </row>
    <row r="205" spans="11:13" ht="12" customHeight="1">
      <c r="K205" s="150"/>
      <c r="L205" s="150"/>
      <c r="M205" s="150"/>
    </row>
    <row r="206" spans="11:13" ht="12" customHeight="1">
      <c r="K206" s="150"/>
      <c r="L206" s="150"/>
      <c r="M206" s="150"/>
    </row>
    <row r="207" spans="11:13" ht="12" customHeight="1">
      <c r="K207" s="150"/>
      <c r="L207" s="150"/>
      <c r="M207" s="150"/>
    </row>
    <row r="208" spans="11:13" ht="12" customHeight="1">
      <c r="K208" s="150"/>
      <c r="L208" s="150"/>
      <c r="M208" s="150"/>
    </row>
    <row r="209" spans="11:13" ht="12" customHeight="1">
      <c r="K209" s="150"/>
      <c r="L209" s="150"/>
      <c r="M209" s="150"/>
    </row>
    <row r="210" spans="11:13" ht="12" customHeight="1">
      <c r="K210" s="150"/>
      <c r="L210" s="150"/>
      <c r="M210" s="150"/>
    </row>
    <row r="211" spans="11:13" ht="12" customHeight="1">
      <c r="K211" s="150"/>
      <c r="L211" s="150"/>
      <c r="M211" s="150"/>
    </row>
    <row r="212" spans="11:13" ht="12" customHeight="1">
      <c r="K212" s="150"/>
      <c r="L212" s="150"/>
      <c r="M212" s="150"/>
    </row>
    <row r="213" spans="11:13" ht="12" customHeight="1">
      <c r="K213" s="150"/>
      <c r="L213" s="150"/>
      <c r="M213" s="150"/>
    </row>
    <row r="214" spans="11:13" ht="12" customHeight="1">
      <c r="K214" s="150"/>
      <c r="L214" s="150"/>
      <c r="M214" s="150"/>
    </row>
    <row r="215" spans="11:13" ht="12" customHeight="1">
      <c r="K215" s="150"/>
      <c r="L215" s="150"/>
      <c r="M215" s="150"/>
    </row>
    <row r="216" spans="11:13" ht="12" customHeight="1">
      <c r="K216" s="150"/>
      <c r="L216" s="150"/>
      <c r="M216" s="150"/>
    </row>
    <row r="217" spans="11:13" ht="12" customHeight="1">
      <c r="K217" s="150"/>
      <c r="L217" s="150"/>
      <c r="M217" s="150"/>
    </row>
    <row r="218" spans="11:13" ht="12" customHeight="1">
      <c r="K218" s="150"/>
      <c r="L218" s="150"/>
      <c r="M218" s="150"/>
    </row>
    <row r="219" spans="11:13" ht="12" customHeight="1">
      <c r="K219" s="150"/>
      <c r="L219" s="150"/>
      <c r="M219" s="150"/>
    </row>
    <row r="220" spans="11:13" ht="12" customHeight="1">
      <c r="K220" s="150"/>
      <c r="L220" s="150"/>
      <c r="M220" s="150"/>
    </row>
    <row r="221" spans="11:13" ht="12" customHeight="1">
      <c r="K221" s="150"/>
      <c r="L221" s="150"/>
      <c r="M221" s="150"/>
    </row>
    <row r="222" spans="11:13" ht="12" customHeight="1">
      <c r="K222" s="150"/>
      <c r="L222" s="150"/>
      <c r="M222" s="150"/>
    </row>
    <row r="223" spans="11:13" ht="12" customHeight="1">
      <c r="K223" s="150"/>
      <c r="L223" s="150"/>
      <c r="M223" s="150"/>
    </row>
    <row r="224" spans="11:13" ht="12" customHeight="1">
      <c r="K224" s="150"/>
      <c r="L224" s="150"/>
      <c r="M224" s="150"/>
    </row>
    <row r="225" spans="11:13" ht="12" customHeight="1">
      <c r="K225" s="150"/>
      <c r="L225" s="150"/>
      <c r="M225" s="150"/>
    </row>
    <row r="226" spans="11:13" ht="12" customHeight="1">
      <c r="K226" s="150"/>
      <c r="L226" s="150"/>
      <c r="M226" s="150"/>
    </row>
    <row r="227" spans="11:13" ht="12" customHeight="1">
      <c r="K227" s="150"/>
      <c r="L227" s="150"/>
      <c r="M227" s="150"/>
    </row>
    <row r="228" spans="11:13" ht="12" customHeight="1">
      <c r="K228" s="150"/>
      <c r="L228" s="150"/>
      <c r="M228" s="150"/>
    </row>
    <row r="229" spans="11:13" ht="12" customHeight="1">
      <c r="K229" s="150"/>
      <c r="L229" s="150"/>
      <c r="M229" s="150"/>
    </row>
    <row r="230" spans="11:13" ht="12" customHeight="1">
      <c r="K230" s="150"/>
      <c r="L230" s="150"/>
      <c r="M230" s="150"/>
    </row>
    <row r="231" spans="11:13" ht="12" customHeight="1">
      <c r="K231" s="150"/>
      <c r="L231" s="150"/>
      <c r="M231" s="150"/>
    </row>
    <row r="232" spans="11:13" ht="12" customHeight="1">
      <c r="K232" s="150"/>
      <c r="L232" s="150"/>
      <c r="M232" s="150"/>
    </row>
    <row r="233" spans="11:13" ht="12" customHeight="1">
      <c r="K233" s="150"/>
      <c r="L233" s="150"/>
      <c r="M233" s="150"/>
    </row>
    <row r="234" spans="11:13" ht="12" customHeight="1">
      <c r="K234" s="150"/>
      <c r="L234" s="150"/>
      <c r="M234" s="150"/>
    </row>
    <row r="235" spans="11:13" ht="12" customHeight="1">
      <c r="K235" s="150"/>
      <c r="L235" s="150"/>
      <c r="M235" s="150"/>
    </row>
    <row r="236" spans="11:13" ht="12" customHeight="1">
      <c r="K236" s="150"/>
      <c r="L236" s="150"/>
      <c r="M236" s="150"/>
    </row>
    <row r="237" spans="11:13" ht="12" customHeight="1">
      <c r="K237" s="150"/>
      <c r="L237" s="150"/>
      <c r="M237" s="150"/>
    </row>
    <row r="238" spans="11:13" ht="12" customHeight="1">
      <c r="K238" s="150"/>
      <c r="L238" s="150"/>
      <c r="M238" s="150"/>
    </row>
    <row r="239" spans="11:13" ht="12" customHeight="1">
      <c r="K239" s="150"/>
      <c r="L239" s="150"/>
      <c r="M239" s="150"/>
    </row>
    <row r="240" spans="11:13" ht="12" customHeight="1">
      <c r="K240" s="150"/>
      <c r="L240" s="150"/>
      <c r="M240" s="150"/>
    </row>
    <row r="241" spans="11:13" ht="12" customHeight="1">
      <c r="K241" s="150"/>
      <c r="L241" s="150"/>
      <c r="M241" s="150"/>
    </row>
    <row r="242" spans="11:13" ht="12" customHeight="1">
      <c r="K242" s="150"/>
      <c r="L242" s="150"/>
      <c r="M242" s="150"/>
    </row>
    <row r="243" spans="11:13" ht="12" customHeight="1">
      <c r="K243" s="150"/>
      <c r="L243" s="150"/>
      <c r="M243" s="150"/>
    </row>
    <row r="244" spans="11:13" ht="12" customHeight="1">
      <c r="K244" s="150"/>
      <c r="L244" s="150"/>
      <c r="M244" s="150"/>
    </row>
    <row r="245" spans="11:13" ht="12" customHeight="1">
      <c r="K245" s="150"/>
      <c r="L245" s="150"/>
      <c r="M245" s="150"/>
    </row>
    <row r="246" spans="11:13" ht="12" customHeight="1">
      <c r="K246" s="150"/>
      <c r="L246" s="150"/>
      <c r="M246" s="150"/>
    </row>
    <row r="247" spans="11:13" ht="12" customHeight="1">
      <c r="K247" s="150"/>
      <c r="L247" s="150"/>
      <c r="M247" s="150"/>
    </row>
    <row r="248" spans="11:13" ht="12" customHeight="1">
      <c r="K248" s="150"/>
      <c r="L248" s="150"/>
      <c r="M248" s="150"/>
    </row>
    <row r="249" spans="11:13" ht="12" customHeight="1">
      <c r="K249" s="150"/>
      <c r="L249" s="150"/>
      <c r="M249" s="150"/>
    </row>
    <row r="250" spans="11:13" ht="12" customHeight="1">
      <c r="K250" s="150"/>
      <c r="L250" s="150"/>
      <c r="M250" s="150"/>
    </row>
    <row r="251" spans="11:13" ht="12" customHeight="1">
      <c r="K251" s="150"/>
      <c r="L251" s="150"/>
      <c r="M251" s="150"/>
    </row>
    <row r="252" spans="11:13" ht="12" customHeight="1">
      <c r="K252" s="150"/>
      <c r="L252" s="150"/>
      <c r="M252" s="150"/>
    </row>
    <row r="253" spans="11:13" ht="12" customHeight="1">
      <c r="K253" s="150"/>
      <c r="L253" s="150"/>
      <c r="M253" s="150"/>
    </row>
    <row r="254" spans="11:13" ht="12" customHeight="1">
      <c r="K254" s="150"/>
      <c r="L254" s="150"/>
      <c r="M254" s="150"/>
    </row>
    <row r="255" spans="11:13" ht="12" customHeight="1">
      <c r="K255" s="150"/>
      <c r="L255" s="150"/>
      <c r="M255" s="150"/>
    </row>
    <row r="256" spans="11:13" ht="12" customHeight="1">
      <c r="K256" s="150"/>
      <c r="L256" s="150"/>
      <c r="M256" s="150"/>
    </row>
    <row r="257" spans="11:13" ht="12" customHeight="1">
      <c r="K257" s="150"/>
      <c r="L257" s="150"/>
      <c r="M257" s="150"/>
    </row>
    <row r="258" spans="11:13" ht="12" customHeight="1">
      <c r="K258" s="150"/>
      <c r="L258" s="150"/>
      <c r="M258" s="150"/>
    </row>
    <row r="259" spans="11:13" ht="12" customHeight="1">
      <c r="K259" s="150"/>
      <c r="L259" s="150"/>
      <c r="M259" s="150"/>
    </row>
    <row r="260" spans="11:13" ht="12" customHeight="1">
      <c r="K260" s="150"/>
      <c r="L260" s="150"/>
      <c r="M260" s="150"/>
    </row>
    <row r="261" spans="11:13" ht="12" customHeight="1">
      <c r="K261" s="150"/>
      <c r="L261" s="150"/>
      <c r="M261" s="150"/>
    </row>
    <row r="262" spans="11:13" ht="12" customHeight="1">
      <c r="K262" s="150"/>
      <c r="L262" s="150"/>
      <c r="M262" s="150"/>
    </row>
    <row r="263" spans="11:13" ht="12" customHeight="1">
      <c r="K263" s="150"/>
      <c r="L263" s="150"/>
      <c r="M263" s="150"/>
    </row>
    <row r="264" spans="11:13" ht="12" customHeight="1">
      <c r="K264" s="150"/>
      <c r="L264" s="150"/>
      <c r="M264" s="150"/>
    </row>
    <row r="265" spans="11:13" ht="12" customHeight="1">
      <c r="K265" s="150"/>
      <c r="L265" s="150"/>
      <c r="M265" s="150"/>
    </row>
    <row r="266" spans="11:13" ht="12" customHeight="1">
      <c r="K266" s="150"/>
      <c r="L266" s="150"/>
      <c r="M266" s="150"/>
    </row>
    <row r="267" spans="11:13" ht="12" customHeight="1">
      <c r="K267" s="150"/>
      <c r="L267" s="150"/>
      <c r="M267" s="150"/>
    </row>
    <row r="268" spans="11:13" ht="12" customHeight="1">
      <c r="K268" s="150"/>
      <c r="L268" s="150"/>
      <c r="M268" s="150"/>
    </row>
    <row r="269" spans="11:13" ht="12" customHeight="1">
      <c r="K269" s="150"/>
      <c r="L269" s="150"/>
      <c r="M269" s="150"/>
    </row>
    <row r="270" spans="11:13" ht="12" customHeight="1">
      <c r="K270" s="150"/>
      <c r="L270" s="150"/>
      <c r="M270" s="150"/>
    </row>
    <row r="271" spans="11:13" ht="12" customHeight="1">
      <c r="K271" s="150"/>
      <c r="L271" s="150"/>
      <c r="M271" s="150"/>
    </row>
    <row r="272" spans="11:13" ht="12" customHeight="1">
      <c r="K272" s="150"/>
      <c r="L272" s="150"/>
      <c r="M272" s="150"/>
    </row>
    <row r="273" spans="11:13" ht="12" customHeight="1">
      <c r="K273" s="150"/>
      <c r="L273" s="150"/>
      <c r="M273" s="150"/>
    </row>
    <row r="274" spans="11:13" ht="12" customHeight="1">
      <c r="K274" s="150"/>
      <c r="L274" s="150"/>
      <c r="M274" s="150"/>
    </row>
    <row r="275" spans="11:13" ht="12" customHeight="1">
      <c r="K275" s="150"/>
      <c r="L275" s="150"/>
      <c r="M275" s="150"/>
    </row>
    <row r="276" spans="11:13" ht="12" customHeight="1">
      <c r="K276" s="150"/>
      <c r="L276" s="150"/>
      <c r="M276" s="150"/>
    </row>
    <row r="277" spans="11:13" ht="12" customHeight="1">
      <c r="K277" s="150"/>
      <c r="L277" s="150"/>
      <c r="M277" s="150"/>
    </row>
    <row r="278" spans="11:13" ht="12" customHeight="1">
      <c r="K278" s="150"/>
      <c r="L278" s="150"/>
      <c r="M278" s="150"/>
    </row>
    <row r="279" spans="11:13" ht="12" customHeight="1">
      <c r="K279" s="150"/>
      <c r="L279" s="150"/>
      <c r="M279" s="150"/>
    </row>
    <row r="280" spans="11:13" ht="12" customHeight="1">
      <c r="K280" s="150"/>
      <c r="L280" s="150"/>
      <c r="M280" s="150"/>
    </row>
    <row r="281" spans="11:13" ht="12" customHeight="1">
      <c r="K281" s="150"/>
      <c r="L281" s="150"/>
      <c r="M281" s="150"/>
    </row>
    <row r="282" spans="11:13" ht="12" customHeight="1">
      <c r="K282" s="150"/>
      <c r="L282" s="150"/>
      <c r="M282" s="150"/>
    </row>
    <row r="283" spans="11:13" ht="12" customHeight="1">
      <c r="K283" s="150"/>
      <c r="L283" s="150"/>
      <c r="M283" s="150"/>
    </row>
    <row r="284" spans="11:13" ht="12" customHeight="1">
      <c r="K284" s="150"/>
      <c r="L284" s="150"/>
      <c r="M284" s="150"/>
    </row>
    <row r="285" spans="11:13" ht="12" customHeight="1">
      <c r="K285" s="150"/>
      <c r="L285" s="150"/>
      <c r="M285" s="150"/>
    </row>
    <row r="286" spans="11:13" ht="12" customHeight="1">
      <c r="K286" s="150"/>
      <c r="L286" s="150"/>
      <c r="M286" s="150"/>
    </row>
    <row r="287" spans="11:13" ht="12" customHeight="1">
      <c r="K287" s="150"/>
      <c r="L287" s="150"/>
      <c r="M287" s="150"/>
    </row>
    <row r="288" spans="11:13" ht="12" customHeight="1">
      <c r="K288" s="150"/>
      <c r="L288" s="150"/>
      <c r="M288" s="150"/>
    </row>
    <row r="289" spans="11:13" ht="12" customHeight="1">
      <c r="K289" s="150"/>
      <c r="L289" s="150"/>
      <c r="M289" s="150"/>
    </row>
    <row r="290" spans="11:13" ht="12" customHeight="1">
      <c r="K290" s="150"/>
      <c r="L290" s="150"/>
      <c r="M290" s="150"/>
    </row>
    <row r="291" spans="11:13" ht="12" customHeight="1">
      <c r="K291" s="150"/>
      <c r="L291" s="150"/>
      <c r="M291" s="150"/>
    </row>
    <row r="292" spans="11:13" ht="12" customHeight="1">
      <c r="K292" s="150"/>
      <c r="L292" s="150"/>
      <c r="M292" s="150"/>
    </row>
    <row r="293" spans="11:13" ht="12" customHeight="1">
      <c r="K293" s="150"/>
      <c r="L293" s="150"/>
      <c r="M293" s="150"/>
    </row>
    <row r="294" spans="11:13" ht="12" customHeight="1">
      <c r="K294" s="150"/>
      <c r="L294" s="150"/>
      <c r="M294" s="150"/>
    </row>
    <row r="295" spans="11:13" ht="12" customHeight="1">
      <c r="K295" s="150"/>
      <c r="L295" s="150"/>
      <c r="M295" s="150"/>
    </row>
    <row r="296" spans="11:13" ht="12" customHeight="1">
      <c r="K296" s="150"/>
      <c r="L296" s="150"/>
      <c r="M296" s="150"/>
    </row>
    <row r="297" spans="11:13" ht="12" customHeight="1">
      <c r="K297" s="150"/>
      <c r="L297" s="150"/>
      <c r="M297" s="150"/>
    </row>
    <row r="298" spans="11:13" ht="12" customHeight="1">
      <c r="K298" s="150"/>
      <c r="L298" s="150"/>
      <c r="M298" s="150"/>
    </row>
    <row r="299" spans="11:13" ht="12" customHeight="1">
      <c r="K299" s="150"/>
      <c r="L299" s="150"/>
      <c r="M299" s="150"/>
    </row>
    <row r="300" spans="11:13" ht="12" customHeight="1">
      <c r="K300" s="150"/>
      <c r="L300" s="150"/>
      <c r="M300" s="150"/>
    </row>
    <row r="301" spans="11:13" ht="12" customHeight="1">
      <c r="K301" s="150"/>
      <c r="L301" s="150"/>
      <c r="M301" s="150"/>
    </row>
    <row r="302" spans="11:13" ht="12" customHeight="1">
      <c r="K302" s="150"/>
      <c r="L302" s="150"/>
      <c r="M302" s="150"/>
    </row>
    <row r="303" spans="11:13" ht="12" customHeight="1">
      <c r="K303" s="150"/>
      <c r="L303" s="150"/>
      <c r="M303" s="150"/>
    </row>
    <row r="304" spans="11:13" ht="12" customHeight="1">
      <c r="K304" s="150"/>
      <c r="L304" s="150"/>
      <c r="M304" s="150"/>
    </row>
    <row r="305" spans="11:13" ht="12" customHeight="1">
      <c r="K305" s="150"/>
      <c r="L305" s="150"/>
      <c r="M305" s="150"/>
    </row>
    <row r="306" spans="11:13" ht="12" customHeight="1">
      <c r="K306" s="150"/>
      <c r="L306" s="150"/>
      <c r="M306" s="150"/>
    </row>
    <row r="307" spans="11:13" ht="12" customHeight="1">
      <c r="K307" s="150"/>
      <c r="L307" s="150"/>
      <c r="M307" s="150"/>
    </row>
    <row r="308" spans="11:13" ht="12" customHeight="1">
      <c r="K308" s="150"/>
      <c r="L308" s="150"/>
      <c r="M308" s="150"/>
    </row>
    <row r="309" spans="11:13" ht="12" customHeight="1">
      <c r="K309" s="150"/>
      <c r="L309" s="150"/>
      <c r="M309" s="150"/>
    </row>
    <row r="310" spans="11:13" ht="12" customHeight="1">
      <c r="K310" s="150"/>
      <c r="L310" s="150"/>
      <c r="M310" s="150"/>
    </row>
    <row r="311" spans="11:13" ht="12" customHeight="1">
      <c r="K311" s="150"/>
      <c r="L311" s="150"/>
      <c r="M311" s="150"/>
    </row>
    <row r="312" spans="11:13" ht="12" customHeight="1">
      <c r="K312" s="150"/>
      <c r="L312" s="150"/>
      <c r="M312" s="150"/>
    </row>
    <row r="313" spans="11:13" ht="12" customHeight="1">
      <c r="K313" s="150"/>
      <c r="L313" s="150"/>
      <c r="M313" s="150"/>
    </row>
    <row r="314" spans="11:13" ht="12" customHeight="1">
      <c r="K314" s="150"/>
      <c r="L314" s="150"/>
      <c r="M314" s="150"/>
    </row>
    <row r="315" spans="11:13" ht="12" customHeight="1">
      <c r="K315" s="150"/>
      <c r="L315" s="150"/>
      <c r="M315" s="150"/>
    </row>
    <row r="316" spans="11:13" ht="12" customHeight="1">
      <c r="K316" s="150"/>
      <c r="L316" s="150"/>
      <c r="M316" s="150"/>
    </row>
    <row r="317" spans="11:13" ht="12" customHeight="1">
      <c r="K317" s="150"/>
      <c r="L317" s="150"/>
      <c r="M317" s="150"/>
    </row>
    <row r="318" spans="11:13" ht="12" customHeight="1">
      <c r="K318" s="150"/>
      <c r="L318" s="150"/>
      <c r="M318" s="150"/>
    </row>
    <row r="319" spans="11:13" ht="12" customHeight="1">
      <c r="K319" s="150"/>
      <c r="L319" s="150"/>
      <c r="M319" s="150"/>
    </row>
    <row r="320" spans="11:13" ht="12" customHeight="1">
      <c r="K320" s="150"/>
      <c r="L320" s="150"/>
      <c r="M320" s="150"/>
    </row>
    <row r="321" spans="11:13" ht="12" customHeight="1">
      <c r="K321" s="150"/>
      <c r="L321" s="150"/>
      <c r="M321" s="150"/>
    </row>
    <row r="322" spans="11:13" ht="12" customHeight="1">
      <c r="K322" s="150"/>
      <c r="L322" s="150"/>
      <c r="M322" s="150"/>
    </row>
    <row r="323" spans="11:13" ht="12" customHeight="1">
      <c r="K323" s="150"/>
      <c r="L323" s="150"/>
      <c r="M323" s="150"/>
    </row>
    <row r="324" spans="11:13" ht="12" customHeight="1">
      <c r="K324" s="150"/>
      <c r="L324" s="150"/>
      <c r="M324" s="150"/>
    </row>
    <row r="325" spans="11:13" ht="12" customHeight="1">
      <c r="K325" s="150"/>
      <c r="L325" s="150"/>
      <c r="M325" s="150"/>
    </row>
    <row r="326" spans="11:13" ht="12" customHeight="1">
      <c r="K326" s="150"/>
      <c r="L326" s="150"/>
      <c r="M326" s="150"/>
    </row>
    <row r="327" spans="11:13" ht="12" customHeight="1">
      <c r="K327" s="150"/>
      <c r="L327" s="150"/>
      <c r="M327" s="150"/>
    </row>
    <row r="328" spans="11:13" ht="12" customHeight="1">
      <c r="K328" s="150"/>
      <c r="L328" s="150"/>
      <c r="M328" s="150"/>
    </row>
    <row r="329" spans="11:13" ht="12" customHeight="1">
      <c r="K329" s="150"/>
      <c r="L329" s="150"/>
      <c r="M329" s="150"/>
    </row>
    <row r="330" spans="11:13" ht="12" customHeight="1">
      <c r="K330" s="150"/>
      <c r="L330" s="150"/>
      <c r="M330" s="150"/>
    </row>
    <row r="331" spans="11:13" ht="12" customHeight="1">
      <c r="K331" s="150"/>
      <c r="L331" s="150"/>
      <c r="M331" s="150"/>
    </row>
    <row r="332" spans="11:13" ht="12" customHeight="1">
      <c r="K332" s="150"/>
      <c r="L332" s="150"/>
      <c r="M332" s="150"/>
    </row>
    <row r="333" spans="11:13" ht="12" customHeight="1">
      <c r="K333" s="150"/>
      <c r="L333" s="150"/>
      <c r="M333" s="150"/>
    </row>
    <row r="334" spans="11:13" ht="12" customHeight="1">
      <c r="K334" s="150"/>
      <c r="L334" s="150"/>
      <c r="M334" s="150"/>
    </row>
    <row r="335" spans="11:13" ht="12" customHeight="1">
      <c r="K335" s="150"/>
      <c r="L335" s="150"/>
      <c r="M335" s="150"/>
    </row>
    <row r="336" spans="11:13" ht="12" customHeight="1">
      <c r="K336" s="150"/>
      <c r="L336" s="150"/>
      <c r="M336" s="150"/>
    </row>
    <row r="337" spans="11:13" ht="12" customHeight="1">
      <c r="K337" s="150"/>
      <c r="L337" s="150"/>
      <c r="M337" s="150"/>
    </row>
    <row r="338" spans="11:13" ht="12" customHeight="1">
      <c r="K338" s="150"/>
      <c r="L338" s="150"/>
      <c r="M338" s="150"/>
    </row>
    <row r="339" spans="11:13" ht="12" customHeight="1">
      <c r="K339" s="150"/>
      <c r="L339" s="150"/>
      <c r="M339" s="150"/>
    </row>
    <row r="340" spans="11:13" ht="12" customHeight="1">
      <c r="K340" s="150"/>
      <c r="L340" s="150"/>
      <c r="M340" s="150"/>
    </row>
    <row r="341" spans="11:13" ht="12" customHeight="1">
      <c r="K341" s="150"/>
      <c r="L341" s="150"/>
      <c r="M341" s="150"/>
    </row>
    <row r="342" spans="11:13" ht="12" customHeight="1">
      <c r="K342" s="150"/>
      <c r="L342" s="150"/>
      <c r="M342" s="150"/>
    </row>
    <row r="343" spans="11:13" ht="12" customHeight="1">
      <c r="K343" s="150"/>
      <c r="L343" s="150"/>
      <c r="M343" s="150"/>
    </row>
    <row r="344" spans="11:13" ht="12" customHeight="1">
      <c r="K344" s="150"/>
      <c r="L344" s="150"/>
      <c r="M344" s="15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view="pageBreakPreview" zoomScaleNormal="100" zoomScaleSheetLayoutView="100" workbookViewId="0">
      <pane xSplit="1" ySplit="1" topLeftCell="B2" activePane="bottomRight" state="frozen"/>
      <selection activeCell="J12" sqref="J12"/>
      <selection pane="topRight" activeCell="J12" sqref="J12"/>
      <selection pane="bottomLeft" activeCell="J12" sqref="J12"/>
      <selection pane="bottomRight" activeCell="C101" sqref="C101"/>
    </sheetView>
  </sheetViews>
  <sheetFormatPr baseColWidth="10" defaultColWidth="20.6640625" defaultRowHeight="12" customHeight="1" outlineLevelRow="1" outlineLevelCol="1"/>
  <cols>
    <col min="1" max="1" width="20.6640625" style="103" customWidth="1"/>
    <col min="2" max="7" width="10.88671875" style="150" customWidth="1"/>
    <col min="8" max="13" width="10.88671875" style="150" hidden="1" customWidth="1" outlineLevel="1"/>
    <col min="14" max="14" width="20.6640625" style="103" collapsed="1"/>
    <col min="15" max="16384" width="20.6640625" style="103"/>
  </cols>
  <sheetData>
    <row r="1" spans="1:28" s="102" customFormat="1" ht="24" customHeight="1">
      <c r="A1" s="151" t="s">
        <v>144</v>
      </c>
      <c r="B1" s="1" t="s">
        <v>151</v>
      </c>
      <c r="C1" s="1" t="s">
        <v>152</v>
      </c>
      <c r="D1" s="1" t="s">
        <v>150</v>
      </c>
      <c r="E1" s="1">
        <v>2015</v>
      </c>
      <c r="F1" s="1" t="s">
        <v>153</v>
      </c>
      <c r="G1" s="1">
        <v>2014</v>
      </c>
      <c r="H1" s="1" t="s">
        <v>1</v>
      </c>
      <c r="I1" s="1">
        <v>2013</v>
      </c>
      <c r="J1" s="1" t="s">
        <v>2</v>
      </c>
      <c r="K1" s="1">
        <v>2012</v>
      </c>
      <c r="L1" s="1" t="s">
        <v>3</v>
      </c>
      <c r="M1" s="1">
        <v>2011</v>
      </c>
    </row>
    <row r="2" spans="1:28" ht="9.75" hidden="1" customHeight="1" outlineLevel="1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28" s="109" customFormat="1" ht="10.199999999999999" customHeight="1" collapsed="1">
      <c r="A3" s="193" t="s">
        <v>4</v>
      </c>
      <c r="B3" s="194">
        <f>B71</f>
        <v>30.66</v>
      </c>
      <c r="C3" s="245">
        <f t="shared" ref="C3:C7" si="0">IF((+B3/D3)&lt;0,"n.m.",IF(B3&lt;0,(+B3/D3-1)*-1,(+B3/D3-1)))</f>
        <v>-0.13876404494382022</v>
      </c>
      <c r="D3" s="194">
        <f>D71</f>
        <v>35.6</v>
      </c>
      <c r="E3" s="194">
        <f>E71</f>
        <v>136.12</v>
      </c>
      <c r="F3" s="245">
        <f t="shared" ref="F3:H9" si="1">IF((+E3/G3)&lt;0,"n.m.",IF(E3&lt;0,(+E3/G3-1)*-1,(+E3/G3-1)))</f>
        <v>2.6468592112208755E-2</v>
      </c>
      <c r="G3" s="194">
        <f>G71</f>
        <v>132.61000000000001</v>
      </c>
      <c r="H3" s="245">
        <f t="shared" si="1"/>
        <v>-2.6286805198619478E-2</v>
      </c>
      <c r="I3" s="194">
        <f>I71</f>
        <v>136.19</v>
      </c>
      <c r="J3" s="196">
        <v>9.1003765120563962E-2</v>
      </c>
      <c r="K3" s="194">
        <v>124.83</v>
      </c>
      <c r="L3" s="196">
        <v>-0.25345374080497574</v>
      </c>
      <c r="M3" s="194">
        <v>167.20999999999998</v>
      </c>
      <c r="N3" s="197"/>
    </row>
    <row r="4" spans="1:28" s="109" customFormat="1" ht="10.199999999999999" customHeight="1">
      <c r="A4" s="193" t="s">
        <v>5</v>
      </c>
      <c r="B4" s="194">
        <f>B101</f>
        <v>4.38</v>
      </c>
      <c r="C4" s="245">
        <f t="shared" si="0"/>
        <v>-0.62691652470187398</v>
      </c>
      <c r="D4" s="194">
        <f>D101</f>
        <v>11.740000000000002</v>
      </c>
      <c r="E4" s="194">
        <f>E101</f>
        <v>6.4500000000000011</v>
      </c>
      <c r="F4" s="245">
        <f t="shared" si="1"/>
        <v>-0.14456233421750653</v>
      </c>
      <c r="G4" s="194">
        <f>G101</f>
        <v>7.54</v>
      </c>
      <c r="H4" s="245">
        <f t="shared" si="1"/>
        <v>-0.29268292682926833</v>
      </c>
      <c r="I4" s="194">
        <f>I101</f>
        <v>10.66</v>
      </c>
      <c r="J4" s="196">
        <v>-8.8109495295124129E-2</v>
      </c>
      <c r="K4" s="194">
        <v>11.86</v>
      </c>
      <c r="L4" s="196">
        <v>-0.10967250571210951</v>
      </c>
      <c r="M4" s="194">
        <v>13.129999999999999</v>
      </c>
      <c r="N4" s="254"/>
    </row>
    <row r="5" spans="1:28" s="109" customFormat="1" ht="10.199999999999999" customHeight="1">
      <c r="A5" s="193" t="s">
        <v>6</v>
      </c>
      <c r="B5" s="352">
        <v>5.8</v>
      </c>
      <c r="C5" s="245">
        <f t="shared" si="0"/>
        <v>0.17886178861788626</v>
      </c>
      <c r="D5" s="194">
        <v>4.92</v>
      </c>
      <c r="E5" s="194">
        <v>25.15</v>
      </c>
      <c r="F5" s="245">
        <f t="shared" si="1"/>
        <v>0.18895664917505783</v>
      </c>
      <c r="G5" s="194">
        <v>21.152999999999999</v>
      </c>
      <c r="H5" s="245">
        <f t="shared" si="1"/>
        <v>-0.20207468879668056</v>
      </c>
      <c r="I5" s="194">
        <v>26.51</v>
      </c>
      <c r="J5" s="196">
        <v>0.32679509632224168</v>
      </c>
      <c r="K5" s="194">
        <v>19.98</v>
      </c>
      <c r="L5" s="196">
        <v>-0.41441045475855609</v>
      </c>
      <c r="M5" s="194">
        <v>34.128</v>
      </c>
      <c r="N5" s="197"/>
    </row>
    <row r="6" spans="1:28" s="109" customFormat="1" ht="10.199999999999999" customHeight="1">
      <c r="A6" s="193" t="s">
        <v>145</v>
      </c>
      <c r="B6" s="194">
        <v>-0.42</v>
      </c>
      <c r="C6" s="245">
        <f t="shared" si="0"/>
        <v>-0.55555555555555536</v>
      </c>
      <c r="D6" s="194">
        <v>-0.27</v>
      </c>
      <c r="E6" s="194">
        <v>0.22</v>
      </c>
      <c r="F6" s="245">
        <f t="shared" si="1"/>
        <v>-0.37142857142857133</v>
      </c>
      <c r="G6" s="194">
        <v>0.35</v>
      </c>
      <c r="H6" s="245">
        <f t="shared" si="1"/>
        <v>4.833333333333333</v>
      </c>
      <c r="I6" s="194">
        <v>0.06</v>
      </c>
      <c r="J6" s="196" t="s">
        <v>14</v>
      </c>
      <c r="K6" s="194">
        <v>-1.97</v>
      </c>
      <c r="L6" s="196" t="s">
        <v>14</v>
      </c>
      <c r="M6" s="194">
        <v>0.68</v>
      </c>
      <c r="N6" s="198"/>
    </row>
    <row r="7" spans="1:28" s="109" customFormat="1" ht="10.199999999999999" customHeight="1">
      <c r="A7" s="193" t="s">
        <v>147</v>
      </c>
      <c r="B7" s="194">
        <v>-9.31</v>
      </c>
      <c r="C7" s="360" t="str">
        <f t="shared" si="0"/>
        <v>n.m.</v>
      </c>
      <c r="D7" s="194">
        <v>7.43</v>
      </c>
      <c r="E7" s="194">
        <v>-24.2</v>
      </c>
      <c r="F7" s="245">
        <f t="shared" si="1"/>
        <v>6.3829787234042645E-2</v>
      </c>
      <c r="G7" s="194">
        <v>-25.85</v>
      </c>
      <c r="H7" s="245">
        <f t="shared" si="1"/>
        <v>0.17884371029224899</v>
      </c>
      <c r="I7" s="194">
        <v>-31.48</v>
      </c>
      <c r="J7" s="196">
        <v>-0.40266788106487539</v>
      </c>
      <c r="K7" s="194">
        <v>-52.701000000000001</v>
      </c>
      <c r="L7" s="196" t="s">
        <v>14</v>
      </c>
      <c r="M7" s="194">
        <v>9.2289999999999992</v>
      </c>
      <c r="N7" s="197"/>
    </row>
    <row r="8" spans="1:28" ht="10.199999999999999" customHeight="1">
      <c r="A8" s="199" t="s">
        <v>138</v>
      </c>
      <c r="B8" s="200">
        <f>B6/B5</f>
        <v>-7.2413793103448282E-2</v>
      </c>
      <c r="C8" s="196"/>
      <c r="D8" s="200">
        <f>D6/D5</f>
        <v>-5.4878048780487812E-2</v>
      </c>
      <c r="E8" s="200">
        <f>E6/E5</f>
        <v>8.7475149105367793E-3</v>
      </c>
      <c r="F8" s="244"/>
      <c r="G8" s="200">
        <f>G6/G5</f>
        <v>1.6546116390110149E-2</v>
      </c>
      <c r="H8" s="244"/>
      <c r="I8" s="200">
        <f>I6/I5</f>
        <v>2.2632968691059974E-3</v>
      </c>
      <c r="J8" s="201"/>
      <c r="K8" s="200">
        <v>-9.8573930447835884E-2</v>
      </c>
      <c r="L8" s="200"/>
      <c r="M8" s="200">
        <v>1.9924988279418659E-2</v>
      </c>
      <c r="N8" s="202"/>
    </row>
    <row r="9" spans="1:28" s="208" customFormat="1" ht="10.199999999999999" customHeight="1" thickBot="1">
      <c r="A9" s="357" t="s">
        <v>149</v>
      </c>
      <c r="B9" s="279">
        <v>3.58</v>
      </c>
      <c r="C9" s="286">
        <f t="shared" ref="C9" si="2">IF((+B9/D9)&lt;0,"n.m.",IF(B9&lt;0,(+B9/D9-1)*-1,(+B9/D9-1)))</f>
        <v>-0.2603305785123966</v>
      </c>
      <c r="D9" s="279">
        <v>4.84</v>
      </c>
      <c r="E9" s="285">
        <v>-8.19</v>
      </c>
      <c r="F9" s="286">
        <f t="shared" si="1"/>
        <v>-4.0660736975857592E-2</v>
      </c>
      <c r="G9" s="204">
        <v>-7.87</v>
      </c>
      <c r="H9" s="286">
        <f t="shared" si="1"/>
        <v>0.5820943075615973</v>
      </c>
      <c r="I9" s="204">
        <v>-18.832000000000001</v>
      </c>
      <c r="J9" s="287">
        <f>(I9/K9)-1</f>
        <v>0.22764015645371583</v>
      </c>
      <c r="K9" s="204">
        <v>-15.34</v>
      </c>
      <c r="L9" s="205">
        <f>(K9/M9)-1</f>
        <v>7.9825425876390188E-2</v>
      </c>
      <c r="M9" s="206">
        <v>-14.206</v>
      </c>
      <c r="N9" s="207"/>
    </row>
    <row r="10" spans="1:28" ht="21" customHeight="1" thickBot="1">
      <c r="A10" s="358"/>
      <c r="B10" s="200"/>
      <c r="C10" s="196"/>
      <c r="D10" s="209"/>
      <c r="E10" s="200"/>
      <c r="F10" s="196"/>
      <c r="G10" s="200"/>
      <c r="H10" s="196"/>
      <c r="I10" s="200"/>
      <c r="J10" s="196"/>
      <c r="K10" s="209"/>
      <c r="L10" s="210" t="s">
        <v>146</v>
      </c>
      <c r="M10" s="288">
        <f>Group!E26-'North + West'!E6-'South + East'!E6-'International + Special Divisio'!E6-Other!E6-E9</f>
        <v>3.9999999977311518E-3</v>
      </c>
      <c r="N10" s="202"/>
    </row>
    <row r="11" spans="1:28" ht="10.199999999999999" customHeight="1">
      <c r="A11" s="199"/>
      <c r="B11" s="211"/>
      <c r="C11" s="201"/>
      <c r="D11" s="211"/>
      <c r="E11" s="211"/>
      <c r="F11" s="201"/>
      <c r="G11" s="211"/>
      <c r="H11" s="201"/>
      <c r="I11" s="211"/>
      <c r="J11" s="201"/>
      <c r="K11" s="211"/>
      <c r="L11" s="212"/>
      <c r="M11" s="212"/>
      <c r="N11" s="202"/>
    </row>
    <row r="12" spans="1:28" s="109" customFormat="1" ht="10.199999999999999" customHeight="1">
      <c r="A12" s="193" t="s">
        <v>105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28" s="3" customFormat="1" ht="10.199999999999999">
      <c r="A13" s="214" t="s">
        <v>106</v>
      </c>
      <c r="B13" s="215">
        <v>2380</v>
      </c>
      <c r="C13" s="244">
        <f t="shared" ref="C13:C40" si="3">IF((+B13/D13)&lt;0,"n.m.",IF(B13&lt;0,(+B13/D13-1)*-1,(+B13/D13-1)))</f>
        <v>1.6659547202050318E-2</v>
      </c>
      <c r="D13" s="215">
        <v>2341</v>
      </c>
      <c r="E13" s="215">
        <v>2357</v>
      </c>
      <c r="F13" s="244">
        <f t="shared" ref="F13:H40" si="4">IF((+E13/G13)&lt;0,"n.m.",IF(E13&lt;0,(+E13/G13-1)*-1,(+E13/G13-1)))</f>
        <v>3.5588752196836548E-2</v>
      </c>
      <c r="G13" s="215">
        <v>2276</v>
      </c>
      <c r="H13" s="244">
        <f t="shared" si="4"/>
        <v>1.245551601423478E-2</v>
      </c>
      <c r="I13" s="215">
        <v>2248</v>
      </c>
      <c r="J13" s="203"/>
      <c r="K13" s="216"/>
      <c r="L13" s="203"/>
      <c r="M13" s="217"/>
      <c r="N13" s="14"/>
      <c r="O13" s="33"/>
      <c r="P13" s="120"/>
      <c r="Q13" s="7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3" customFormat="1" ht="10.199999999999999">
      <c r="A14" s="214" t="s">
        <v>107</v>
      </c>
      <c r="B14" s="215">
        <v>1168</v>
      </c>
      <c r="C14" s="244">
        <f t="shared" si="3"/>
        <v>4.2992261392948983E-3</v>
      </c>
      <c r="D14" s="215">
        <v>1163</v>
      </c>
      <c r="E14" s="215">
        <v>1144</v>
      </c>
      <c r="F14" s="244">
        <f t="shared" si="4"/>
        <v>2.4171888988361756E-2</v>
      </c>
      <c r="G14" s="215">
        <v>1117</v>
      </c>
      <c r="H14" s="244">
        <f t="shared" si="4"/>
        <v>2.1023765996343702E-2</v>
      </c>
      <c r="I14" s="215">
        <v>1094</v>
      </c>
      <c r="J14" s="203"/>
      <c r="K14" s="216"/>
      <c r="L14" s="203"/>
      <c r="M14" s="217"/>
      <c r="N14" s="14"/>
      <c r="O14" s="33"/>
      <c r="P14" s="120"/>
      <c r="Q14" s="7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3" customFormat="1" ht="10.199999999999999">
      <c r="A15" s="214" t="s">
        <v>108</v>
      </c>
      <c r="B15" s="215">
        <v>590</v>
      </c>
      <c r="C15" s="244">
        <f t="shared" si="3"/>
        <v>8.8560885608855999E-2</v>
      </c>
      <c r="D15" s="215">
        <v>542</v>
      </c>
      <c r="E15" s="215">
        <v>579</v>
      </c>
      <c r="F15" s="244">
        <f t="shared" si="4"/>
        <v>7.8212290502793325E-2</v>
      </c>
      <c r="G15" s="215">
        <v>537</v>
      </c>
      <c r="H15" s="244">
        <f t="shared" si="4"/>
        <v>-5.4577464788732377E-2</v>
      </c>
      <c r="I15" s="215">
        <v>568</v>
      </c>
      <c r="J15" s="203"/>
      <c r="K15" s="216"/>
      <c r="L15" s="203"/>
      <c r="M15" s="217"/>
      <c r="N15" s="14"/>
      <c r="O15" s="33"/>
      <c r="P15" s="120"/>
      <c r="Q15" s="7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3" customFormat="1" ht="10.199999999999999">
      <c r="A16" s="214" t="s">
        <v>109</v>
      </c>
      <c r="B16" s="215">
        <v>357</v>
      </c>
      <c r="C16" s="244">
        <f t="shared" si="3"/>
        <v>1.7094017094017033E-2</v>
      </c>
      <c r="D16" s="215">
        <v>351</v>
      </c>
      <c r="E16" s="215">
        <v>356</v>
      </c>
      <c r="F16" s="244">
        <f t="shared" si="4"/>
        <v>8.4985835694051381E-3</v>
      </c>
      <c r="G16" s="215">
        <v>353</v>
      </c>
      <c r="H16" s="244">
        <f t="shared" si="4"/>
        <v>-1.3966480446927387E-2</v>
      </c>
      <c r="I16" s="215">
        <v>358</v>
      </c>
      <c r="J16" s="203"/>
      <c r="K16" s="216"/>
      <c r="L16" s="203"/>
      <c r="M16" s="217"/>
      <c r="N16" s="14"/>
      <c r="O16" s="33"/>
      <c r="P16" s="120"/>
      <c r="Q16" s="7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1" customFormat="1" ht="10.199999999999999">
      <c r="A17" s="214" t="s">
        <v>110</v>
      </c>
      <c r="B17" s="215">
        <v>271</v>
      </c>
      <c r="C17" s="244">
        <f t="shared" si="3"/>
        <v>-2.5179856115107868E-2</v>
      </c>
      <c r="D17" s="215">
        <v>278</v>
      </c>
      <c r="E17" s="215">
        <v>277</v>
      </c>
      <c r="F17" s="244">
        <f t="shared" si="4"/>
        <v>-3.1468531468531458E-2</v>
      </c>
      <c r="G17" s="215">
        <v>286</v>
      </c>
      <c r="H17" s="244">
        <f t="shared" si="4"/>
        <v>7.9245283018867907E-2</v>
      </c>
      <c r="I17" s="215">
        <v>265</v>
      </c>
      <c r="J17" s="203"/>
      <c r="K17" s="216"/>
      <c r="L17" s="203"/>
      <c r="M17" s="217"/>
      <c r="N17" s="14"/>
      <c r="O17" s="33"/>
      <c r="P17" s="120"/>
      <c r="Q17" s="77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s="11" customFormat="1" ht="10.199999999999999">
      <c r="A18" s="214" t="s">
        <v>111</v>
      </c>
      <c r="B18" s="215">
        <v>121</v>
      </c>
      <c r="C18" s="244">
        <f t="shared" si="3"/>
        <v>-0.15972222222222221</v>
      </c>
      <c r="D18" s="215">
        <v>144</v>
      </c>
      <c r="E18" s="215">
        <v>135</v>
      </c>
      <c r="F18" s="244">
        <f t="shared" si="4"/>
        <v>-0.15094339622641506</v>
      </c>
      <c r="G18" s="215">
        <v>159</v>
      </c>
      <c r="H18" s="244">
        <f t="shared" si="4"/>
        <v>-0.1067415730337079</v>
      </c>
      <c r="I18" s="215">
        <v>178</v>
      </c>
      <c r="J18" s="203"/>
      <c r="K18" s="216"/>
      <c r="L18" s="203"/>
      <c r="M18" s="217"/>
      <c r="N18" s="14"/>
      <c r="O18" s="33"/>
      <c r="P18" s="120"/>
      <c r="Q18" s="77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s="11" customFormat="1" ht="10.199999999999999">
      <c r="A19" s="214" t="s">
        <v>112</v>
      </c>
      <c r="B19" s="215">
        <v>206</v>
      </c>
      <c r="C19" s="244">
        <f t="shared" si="3"/>
        <v>3.5175879396984966E-2</v>
      </c>
      <c r="D19" s="215">
        <v>199</v>
      </c>
      <c r="E19" s="215">
        <v>203</v>
      </c>
      <c r="F19" s="244">
        <f t="shared" si="4"/>
        <v>-0.11353711790393017</v>
      </c>
      <c r="G19" s="215">
        <v>229</v>
      </c>
      <c r="H19" s="244">
        <f t="shared" si="4"/>
        <v>-2.5531914893617058E-2</v>
      </c>
      <c r="I19" s="215">
        <v>235</v>
      </c>
      <c r="J19" s="203"/>
      <c r="K19" s="216"/>
      <c r="L19" s="203"/>
      <c r="M19" s="217"/>
      <c r="N19" s="14"/>
      <c r="O19" s="33"/>
      <c r="P19" s="120"/>
      <c r="Q19" s="77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s="11" customFormat="1" ht="10.199999999999999">
      <c r="A20" s="214" t="s">
        <v>113</v>
      </c>
      <c r="B20" s="215">
        <v>168</v>
      </c>
      <c r="C20" s="244">
        <f t="shared" si="3"/>
        <v>6.3291139240506222E-2</v>
      </c>
      <c r="D20" s="215">
        <v>158</v>
      </c>
      <c r="E20" s="215">
        <v>160</v>
      </c>
      <c r="F20" s="244">
        <f t="shared" si="4"/>
        <v>-0.1061452513966481</v>
      </c>
      <c r="G20" s="215">
        <v>179</v>
      </c>
      <c r="H20" s="244">
        <f t="shared" si="4"/>
        <v>-0.19730941704035876</v>
      </c>
      <c r="I20" s="215">
        <v>223</v>
      </c>
      <c r="J20" s="203"/>
      <c r="K20" s="216"/>
      <c r="L20" s="203"/>
      <c r="M20" s="217"/>
      <c r="N20" s="14"/>
      <c r="O20" s="33"/>
      <c r="P20" s="120"/>
      <c r="Q20" s="77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s="11" customFormat="1" ht="10.199999999999999">
      <c r="A21" s="214" t="s">
        <v>114</v>
      </c>
      <c r="B21" s="215">
        <v>97</v>
      </c>
      <c r="C21" s="244">
        <f t="shared" si="3"/>
        <v>-3.0000000000000027E-2</v>
      </c>
      <c r="D21" s="215">
        <v>100</v>
      </c>
      <c r="E21" s="215">
        <v>101</v>
      </c>
      <c r="F21" s="244">
        <f t="shared" si="4"/>
        <v>7.4468085106383031E-2</v>
      </c>
      <c r="G21" s="215">
        <v>94</v>
      </c>
      <c r="H21" s="244">
        <f t="shared" si="4"/>
        <v>-6.9306930693069257E-2</v>
      </c>
      <c r="I21" s="215">
        <v>101</v>
      </c>
      <c r="J21" s="203"/>
      <c r="K21" s="216"/>
      <c r="L21" s="203"/>
      <c r="M21" s="217"/>
      <c r="N21" s="14"/>
      <c r="O21" s="33"/>
      <c r="P21" s="120"/>
      <c r="Q21" s="77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s="11" customFormat="1" ht="10.199999999999999">
      <c r="A22" s="214" t="s">
        <v>115</v>
      </c>
      <c r="B22" s="215">
        <v>15</v>
      </c>
      <c r="C22" s="244">
        <f t="shared" si="3"/>
        <v>7.1428571428571397E-2</v>
      </c>
      <c r="D22" s="215">
        <v>14</v>
      </c>
      <c r="E22" s="215">
        <v>14</v>
      </c>
      <c r="F22" s="244">
        <f t="shared" si="4"/>
        <v>0</v>
      </c>
      <c r="G22" s="215">
        <v>14</v>
      </c>
      <c r="H22" s="244">
        <f t="shared" si="4"/>
        <v>0.16666666666666674</v>
      </c>
      <c r="I22" s="215">
        <v>12</v>
      </c>
      <c r="J22" s="203"/>
      <c r="K22" s="216"/>
      <c r="L22" s="203"/>
      <c r="M22" s="217"/>
      <c r="N22" s="14"/>
      <c r="O22" s="33"/>
      <c r="P22" s="120"/>
      <c r="Q22" s="7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s="11" customFormat="1" ht="10.199999999999999">
      <c r="A23" s="214" t="s">
        <v>116</v>
      </c>
      <c r="B23" s="215">
        <v>105</v>
      </c>
      <c r="C23" s="244">
        <f t="shared" si="3"/>
        <v>2.9411764705882248E-2</v>
      </c>
      <c r="D23" s="215">
        <v>102</v>
      </c>
      <c r="E23" s="215">
        <v>103</v>
      </c>
      <c r="F23" s="244">
        <f t="shared" si="4"/>
        <v>9.8039215686274161E-3</v>
      </c>
      <c r="G23" s="215">
        <v>102</v>
      </c>
      <c r="H23" s="244">
        <f t="shared" si="4"/>
        <v>-3.7735849056603765E-2</v>
      </c>
      <c r="I23" s="215">
        <v>106</v>
      </c>
      <c r="J23" s="203"/>
      <c r="K23" s="216"/>
      <c r="L23" s="203"/>
      <c r="M23" s="217"/>
      <c r="N23" s="14"/>
      <c r="O23" s="33"/>
      <c r="P23" s="120"/>
      <c r="Q23" s="77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s="11" customFormat="1" ht="10.199999999999999">
      <c r="A24" s="214" t="s">
        <v>117</v>
      </c>
      <c r="B24" s="215">
        <v>57</v>
      </c>
      <c r="C24" s="244">
        <f t="shared" si="3"/>
        <v>1.7857142857142794E-2</v>
      </c>
      <c r="D24" s="215">
        <v>56</v>
      </c>
      <c r="E24" s="215">
        <v>56</v>
      </c>
      <c r="F24" s="244">
        <f t="shared" si="4"/>
        <v>0</v>
      </c>
      <c r="G24" s="215">
        <v>56</v>
      </c>
      <c r="H24" s="244">
        <f t="shared" si="4"/>
        <v>-1.7543859649122862E-2</v>
      </c>
      <c r="I24" s="215">
        <v>57</v>
      </c>
      <c r="J24" s="203"/>
      <c r="K24" s="216"/>
      <c r="L24" s="203"/>
      <c r="M24" s="217"/>
      <c r="N24" s="14"/>
      <c r="O24" s="33"/>
      <c r="P24" s="120"/>
      <c r="Q24" s="77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s="11" customFormat="1" ht="10.199999999999999">
      <c r="A25" s="214" t="s">
        <v>118</v>
      </c>
      <c r="B25" s="215">
        <v>140</v>
      </c>
      <c r="C25" s="244">
        <f t="shared" si="3"/>
        <v>-0.125</v>
      </c>
      <c r="D25" s="215">
        <v>160</v>
      </c>
      <c r="E25" s="215">
        <v>152</v>
      </c>
      <c r="F25" s="244">
        <f t="shared" si="4"/>
        <v>-5.5900621118012417E-2</v>
      </c>
      <c r="G25" s="215">
        <v>161</v>
      </c>
      <c r="H25" s="244">
        <f t="shared" si="4"/>
        <v>-6.9364161849710948E-2</v>
      </c>
      <c r="I25" s="215">
        <v>173</v>
      </c>
      <c r="J25" s="203"/>
      <c r="K25" s="216"/>
      <c r="L25" s="203"/>
      <c r="M25" s="217"/>
      <c r="N25" s="14"/>
      <c r="O25" s="33"/>
      <c r="P25" s="120"/>
      <c r="Q25" s="77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s="11" customFormat="1" ht="10.199999999999999">
      <c r="A26" s="214" t="s">
        <v>119</v>
      </c>
      <c r="B26" s="218">
        <v>59</v>
      </c>
      <c r="C26" s="244">
        <f t="shared" si="3"/>
        <v>0</v>
      </c>
      <c r="D26" s="218">
        <v>59</v>
      </c>
      <c r="E26" s="218">
        <v>59</v>
      </c>
      <c r="F26" s="244">
        <f t="shared" si="4"/>
        <v>5.3571428571428603E-2</v>
      </c>
      <c r="G26" s="218">
        <v>56</v>
      </c>
      <c r="H26" s="244">
        <f t="shared" si="4"/>
        <v>0.39999999999999991</v>
      </c>
      <c r="I26" s="218">
        <v>40</v>
      </c>
      <c r="J26" s="203"/>
      <c r="K26" s="219"/>
      <c r="L26" s="203"/>
      <c r="M26" s="220"/>
      <c r="N26" s="14"/>
      <c r="O26" s="33"/>
      <c r="P26" s="120"/>
      <c r="Q26" s="77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s="11" customFormat="1" ht="10.199999999999999">
      <c r="A27" s="214" t="s">
        <v>120</v>
      </c>
      <c r="B27" s="215">
        <v>30</v>
      </c>
      <c r="C27" s="244">
        <f t="shared" si="3"/>
        <v>-0.16666666666666663</v>
      </c>
      <c r="D27" s="215">
        <v>36</v>
      </c>
      <c r="E27" s="215">
        <v>34</v>
      </c>
      <c r="F27" s="244">
        <f t="shared" si="4"/>
        <v>-2.8571428571428581E-2</v>
      </c>
      <c r="G27" s="215">
        <v>35</v>
      </c>
      <c r="H27" s="244">
        <f t="shared" si="4"/>
        <v>-5.4054054054054057E-2</v>
      </c>
      <c r="I27" s="215">
        <v>37</v>
      </c>
      <c r="J27" s="203"/>
      <c r="K27" s="216"/>
      <c r="L27" s="203"/>
      <c r="M27" s="217"/>
      <c r="N27" s="14"/>
      <c r="O27" s="33"/>
      <c r="P27" s="120"/>
      <c r="Q27" s="7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s="3" customFormat="1" ht="10.199999999999999">
      <c r="A28" s="214" t="s">
        <v>121</v>
      </c>
      <c r="B28" s="215">
        <v>24</v>
      </c>
      <c r="C28" s="244">
        <f t="shared" si="3"/>
        <v>-7.6923076923076872E-2</v>
      </c>
      <c r="D28" s="215">
        <v>26</v>
      </c>
      <c r="E28" s="215">
        <v>25</v>
      </c>
      <c r="F28" s="244">
        <f t="shared" si="4"/>
        <v>-7.407407407407407E-2</v>
      </c>
      <c r="G28" s="215">
        <v>27</v>
      </c>
      <c r="H28" s="244">
        <f t="shared" si="4"/>
        <v>-3.5714285714285698E-2</v>
      </c>
      <c r="I28" s="215">
        <v>28</v>
      </c>
      <c r="J28" s="203"/>
      <c r="K28" s="216"/>
      <c r="L28" s="203"/>
      <c r="M28" s="217"/>
      <c r="N28" s="14"/>
      <c r="O28" s="33"/>
      <c r="P28" s="120"/>
      <c r="Q28" s="7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11" customFormat="1" ht="10.199999999999999">
      <c r="A29" s="214" t="s">
        <v>122</v>
      </c>
      <c r="B29" s="215">
        <v>0</v>
      </c>
      <c r="C29" s="244"/>
      <c r="D29" s="215">
        <v>0</v>
      </c>
      <c r="E29" s="215">
        <v>0</v>
      </c>
      <c r="F29" s="244"/>
      <c r="G29" s="215">
        <v>0</v>
      </c>
      <c r="H29" s="244"/>
      <c r="I29" s="215">
        <v>0</v>
      </c>
      <c r="J29" s="203"/>
      <c r="K29" s="216"/>
      <c r="L29" s="203"/>
      <c r="M29" s="217"/>
      <c r="N29" s="14"/>
      <c r="O29" s="33"/>
      <c r="P29" s="120"/>
      <c r="Q29" s="7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11" customFormat="1" ht="10.199999999999999">
      <c r="A30" s="214" t="s">
        <v>123</v>
      </c>
      <c r="B30" s="215">
        <v>18</v>
      </c>
      <c r="C30" s="244">
        <f t="shared" si="3"/>
        <v>-5.2631578947368474E-2</v>
      </c>
      <c r="D30" s="215">
        <v>19</v>
      </c>
      <c r="E30" s="215">
        <v>18</v>
      </c>
      <c r="F30" s="244">
        <f t="shared" si="4"/>
        <v>0</v>
      </c>
      <c r="G30" s="215">
        <v>18</v>
      </c>
      <c r="H30" s="244">
        <f t="shared" si="4"/>
        <v>0.38461538461538458</v>
      </c>
      <c r="I30" s="215">
        <v>13</v>
      </c>
      <c r="J30" s="203"/>
      <c r="K30" s="216"/>
      <c r="L30" s="203"/>
      <c r="M30" s="217"/>
      <c r="N30" s="14"/>
      <c r="O30" s="33"/>
      <c r="P30" s="120"/>
      <c r="Q30" s="77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s="11" customFormat="1" ht="10.199999999999999">
      <c r="A31" s="214" t="s">
        <v>124</v>
      </c>
      <c r="B31" s="215">
        <v>0</v>
      </c>
      <c r="C31" s="244"/>
      <c r="D31" s="215">
        <v>0</v>
      </c>
      <c r="E31" s="215">
        <v>0</v>
      </c>
      <c r="F31" s="244">
        <f t="shared" si="4"/>
        <v>-1</v>
      </c>
      <c r="G31" s="215">
        <v>5</v>
      </c>
      <c r="H31" s="244">
        <f t="shared" si="4"/>
        <v>0</v>
      </c>
      <c r="I31" s="215">
        <v>5</v>
      </c>
      <c r="J31" s="203"/>
      <c r="K31" s="216"/>
      <c r="L31" s="203"/>
      <c r="M31" s="217"/>
      <c r="N31" s="14"/>
      <c r="O31" s="33"/>
      <c r="P31" s="120"/>
      <c r="Q31" s="77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s="11" customFormat="1" ht="10.199999999999999">
      <c r="A32" s="214" t="s">
        <v>125</v>
      </c>
      <c r="B32" s="215">
        <v>1</v>
      </c>
      <c r="C32" s="244">
        <f t="shared" si="3"/>
        <v>0</v>
      </c>
      <c r="D32" s="215">
        <v>1</v>
      </c>
      <c r="E32" s="215">
        <v>1</v>
      </c>
      <c r="F32" s="244">
        <f t="shared" si="4"/>
        <v>0</v>
      </c>
      <c r="G32" s="215">
        <v>1</v>
      </c>
      <c r="H32" s="244"/>
      <c r="I32" s="215">
        <v>0</v>
      </c>
      <c r="J32" s="221"/>
      <c r="K32" s="216"/>
      <c r="L32" s="221"/>
      <c r="M32" s="217"/>
      <c r="N32" s="37"/>
      <c r="O32" s="38"/>
      <c r="P32" s="125"/>
      <c r="Q32" s="77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s="11" customFormat="1" ht="10.199999999999999">
      <c r="A33" s="214" t="s">
        <v>126</v>
      </c>
      <c r="B33" s="222">
        <v>0</v>
      </c>
      <c r="C33" s="244"/>
      <c r="D33" s="222">
        <v>0</v>
      </c>
      <c r="E33" s="222">
        <v>0</v>
      </c>
      <c r="F33" s="244"/>
      <c r="G33" s="222">
        <v>0</v>
      </c>
      <c r="H33" s="244"/>
      <c r="I33" s="222">
        <v>0</v>
      </c>
      <c r="J33" s="203"/>
      <c r="K33" s="223"/>
      <c r="L33" s="203"/>
      <c r="M33" s="222"/>
      <c r="N33" s="13"/>
      <c r="O33" s="33"/>
      <c r="P33" s="13"/>
      <c r="Q33" s="33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s="11" customFormat="1" ht="10.199999999999999">
      <c r="A34" s="214" t="s">
        <v>127</v>
      </c>
      <c r="B34" s="222">
        <v>0</v>
      </c>
      <c r="C34" s="244"/>
      <c r="D34" s="222">
        <v>0</v>
      </c>
      <c r="E34" s="222">
        <v>0</v>
      </c>
      <c r="F34" s="244"/>
      <c r="G34" s="222">
        <v>0</v>
      </c>
      <c r="H34" s="244"/>
      <c r="I34" s="222">
        <v>0</v>
      </c>
      <c r="J34" s="203"/>
      <c r="K34" s="223"/>
      <c r="L34" s="203"/>
      <c r="M34" s="222"/>
      <c r="N34" s="13"/>
      <c r="O34" s="33"/>
      <c r="P34" s="13"/>
      <c r="Q34" s="33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s="11" customFormat="1" ht="10.199999999999999">
      <c r="A35" s="220" t="s">
        <v>106</v>
      </c>
      <c r="B35" s="224">
        <f>B13</f>
        <v>2380</v>
      </c>
      <c r="C35" s="244">
        <f t="shared" si="3"/>
        <v>1.6659547202050318E-2</v>
      </c>
      <c r="D35" s="224">
        <f>D13</f>
        <v>2341</v>
      </c>
      <c r="E35" s="224">
        <f>E13</f>
        <v>2357</v>
      </c>
      <c r="F35" s="244">
        <f t="shared" si="4"/>
        <v>3.5588752196836548E-2</v>
      </c>
      <c r="G35" s="224">
        <f>G13</f>
        <v>2276</v>
      </c>
      <c r="H35" s="244">
        <f t="shared" si="4"/>
        <v>1.245551601423478E-2</v>
      </c>
      <c r="I35" s="224">
        <f>I13</f>
        <v>2248</v>
      </c>
      <c r="J35" s="203"/>
      <c r="K35" s="225"/>
      <c r="L35" s="203"/>
      <c r="M35" s="222"/>
      <c r="N35" s="14"/>
      <c r="O35" s="33"/>
      <c r="P35" s="120"/>
      <c r="Q35" s="33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s="11" customFormat="1" ht="10.199999999999999">
      <c r="A36" s="220" t="s">
        <v>107</v>
      </c>
      <c r="B36" s="224">
        <f>B14</f>
        <v>1168</v>
      </c>
      <c r="C36" s="244">
        <f t="shared" si="3"/>
        <v>4.2992261392948983E-3</v>
      </c>
      <c r="D36" s="224">
        <f>D14</f>
        <v>1163</v>
      </c>
      <c r="E36" s="224">
        <f>E14</f>
        <v>1144</v>
      </c>
      <c r="F36" s="244">
        <f t="shared" si="4"/>
        <v>2.4171888988361756E-2</v>
      </c>
      <c r="G36" s="224">
        <f>G14</f>
        <v>1117</v>
      </c>
      <c r="H36" s="244">
        <f t="shared" si="4"/>
        <v>2.1023765996343702E-2</v>
      </c>
      <c r="I36" s="224">
        <f>I14</f>
        <v>1094</v>
      </c>
      <c r="J36" s="203"/>
      <c r="K36" s="225"/>
      <c r="L36" s="203"/>
      <c r="M36" s="222"/>
      <c r="N36" s="14"/>
      <c r="O36" s="33"/>
      <c r="P36" s="120"/>
      <c r="Q36" s="33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s="3" customFormat="1" ht="10.199999999999999">
      <c r="A37" s="220" t="s">
        <v>128</v>
      </c>
      <c r="B37" s="218">
        <f>B15+B16+B17+B18+B19+B20+B21+B22+B23+B24</f>
        <v>1987</v>
      </c>
      <c r="C37" s="244">
        <f t="shared" si="3"/>
        <v>2.2119341563785921E-2</v>
      </c>
      <c r="D37" s="218">
        <f>D15+D16+D17+D18+D19+D20+D21+D22+D23+D24</f>
        <v>1944</v>
      </c>
      <c r="E37" s="218">
        <f>E15+E16+E17+E18+E19+E20+E21+E22+E23+E24</f>
        <v>1984</v>
      </c>
      <c r="F37" s="244">
        <f t="shared" si="4"/>
        <v>-1.2444001991040343E-2</v>
      </c>
      <c r="G37" s="218">
        <f>G15+G16+G17+G18+G19+G20+G21+G22+G23+G24</f>
        <v>2009</v>
      </c>
      <c r="H37" s="244">
        <f t="shared" si="4"/>
        <v>-4.4698050404184508E-2</v>
      </c>
      <c r="I37" s="218">
        <f>I15+I16+I17+I18+I19+I20+I21+I22+I23+I24</f>
        <v>2103</v>
      </c>
      <c r="J37" s="203"/>
      <c r="K37" s="219"/>
      <c r="L37" s="203"/>
      <c r="M37" s="226"/>
      <c r="N37" s="14"/>
      <c r="O37" s="21"/>
      <c r="P37" s="120"/>
      <c r="Q37" s="2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3" customFormat="1" ht="10.199999999999999">
      <c r="A38" s="220" t="s">
        <v>129</v>
      </c>
      <c r="B38" s="218">
        <f>B25+B26+B27+B28+B29+B30</f>
        <v>271</v>
      </c>
      <c r="C38" s="244">
        <f t="shared" si="3"/>
        <v>-9.6666666666666679E-2</v>
      </c>
      <c r="D38" s="218">
        <f>D25+D26+D27+D28+D29+D30</f>
        <v>300</v>
      </c>
      <c r="E38" s="218">
        <f>E25+E26+E27+E28+E29+E30</f>
        <v>288</v>
      </c>
      <c r="F38" s="244">
        <f t="shared" si="4"/>
        <v>-3.0303030303030276E-2</v>
      </c>
      <c r="G38" s="218">
        <f>G25+G26+G27+G28+G29+G30</f>
        <v>297</v>
      </c>
      <c r="H38" s="244">
        <f t="shared" si="4"/>
        <v>2.0618556701030855E-2</v>
      </c>
      <c r="I38" s="218">
        <f>I25+I26+I27+I28+I29+I30</f>
        <v>291</v>
      </c>
      <c r="J38" s="203"/>
      <c r="K38" s="219"/>
      <c r="L38" s="203"/>
      <c r="M38" s="226"/>
      <c r="N38" s="14"/>
      <c r="O38" s="21"/>
      <c r="P38" s="120"/>
      <c r="Q38" s="21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11" customFormat="1" ht="10.199999999999999">
      <c r="A39" s="220" t="s">
        <v>130</v>
      </c>
      <c r="B39" s="218">
        <f>B31+B32+B33+B34</f>
        <v>1</v>
      </c>
      <c r="C39" s="244">
        <f t="shared" si="3"/>
        <v>0</v>
      </c>
      <c r="D39" s="218">
        <f>D31+D32+D33+D34</f>
        <v>1</v>
      </c>
      <c r="E39" s="218">
        <f>E31+E32+E33+E34</f>
        <v>1</v>
      </c>
      <c r="F39" s="244">
        <f t="shared" si="4"/>
        <v>-0.83333333333333337</v>
      </c>
      <c r="G39" s="218">
        <f>G31+G32+G33+G34</f>
        <v>6</v>
      </c>
      <c r="H39" s="244">
        <f t="shared" si="4"/>
        <v>0.19999999999999996</v>
      </c>
      <c r="I39" s="218">
        <f>I31+I32+I33+I34</f>
        <v>5</v>
      </c>
      <c r="J39" s="203"/>
      <c r="K39" s="219"/>
      <c r="L39" s="203"/>
      <c r="M39" s="226"/>
      <c r="N39" s="14"/>
      <c r="O39" s="21"/>
      <c r="P39" s="120"/>
      <c r="Q39" s="2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s="3" customFormat="1" ht="10.199999999999999">
      <c r="A40" s="227" t="s">
        <v>131</v>
      </c>
      <c r="B40" s="228">
        <f>SUM(B35:B39)</f>
        <v>5807</v>
      </c>
      <c r="C40" s="245">
        <f t="shared" si="3"/>
        <v>1.008871108018794E-2</v>
      </c>
      <c r="D40" s="228">
        <f>SUM(D35:D39)</f>
        <v>5749</v>
      </c>
      <c r="E40" s="228">
        <f>SUM(E35:E39)</f>
        <v>5774</v>
      </c>
      <c r="F40" s="245">
        <f t="shared" si="4"/>
        <v>1.2094653812445122E-2</v>
      </c>
      <c r="G40" s="228">
        <f>SUM(G35:G39)</f>
        <v>5705</v>
      </c>
      <c r="H40" s="245">
        <f t="shared" si="4"/>
        <v>-6.2706845497300101E-3</v>
      </c>
      <c r="I40" s="228">
        <f>SUM(I35:I39)</f>
        <v>5741</v>
      </c>
      <c r="J40" s="196">
        <f>(I40/K40)-1</f>
        <v>-6.2316081010905799E-3</v>
      </c>
      <c r="K40" s="229">
        <v>5777</v>
      </c>
      <c r="L40" s="195">
        <v>2.4472424188686004E-2</v>
      </c>
      <c r="M40" s="229">
        <v>5639</v>
      </c>
      <c r="N40" s="8"/>
      <c r="O40" s="44"/>
      <c r="P40" s="134"/>
      <c r="Q40" s="44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s="141" customFormat="1" ht="10.199999999999999">
      <c r="A41" s="230" t="s">
        <v>141</v>
      </c>
      <c r="B41" s="231">
        <f>B40/Group!B153</f>
        <v>8.4394256481804444E-2</v>
      </c>
      <c r="C41" s="203"/>
      <c r="D41" s="231">
        <f>D40/Group!D153</f>
        <v>8.0771608407328319E-2</v>
      </c>
      <c r="E41" s="231">
        <f>E40/Group!E153</f>
        <v>7.8756052649526023E-2</v>
      </c>
      <c r="F41" s="203"/>
      <c r="G41" s="231">
        <f>G40/Group!G153</f>
        <v>7.8251447068828348E-2</v>
      </c>
      <c r="H41" s="232"/>
      <c r="I41" s="231">
        <f>I40/Group!I153</f>
        <v>7.8536251709986321E-2</v>
      </c>
      <c r="J41" s="232"/>
      <c r="K41" s="232">
        <f>K40/Group!K153</f>
        <v>7.8057019321713286E-2</v>
      </c>
      <c r="L41" s="232"/>
      <c r="M41" s="232">
        <f>M40/Group!M153</f>
        <v>7.3361434184164645E-2</v>
      </c>
      <c r="N41" s="233"/>
      <c r="O41" s="139"/>
      <c r="P41" s="138"/>
      <c r="Q41" s="139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</row>
    <row r="42" spans="1:28" ht="12" customHeight="1">
      <c r="A42" s="199"/>
      <c r="B42" s="211"/>
      <c r="C42" s="203"/>
      <c r="D42" s="211"/>
      <c r="E42" s="211"/>
      <c r="F42" s="203"/>
      <c r="G42" s="211"/>
      <c r="H42" s="201"/>
      <c r="I42" s="211"/>
      <c r="J42" s="201"/>
      <c r="K42" s="211"/>
      <c r="L42" s="196"/>
      <c r="M42" s="211"/>
    </row>
    <row r="43" spans="1:28" s="109" customFormat="1" ht="12" customHeight="1">
      <c r="A43" s="227" t="s">
        <v>4</v>
      </c>
      <c r="B43" s="213"/>
      <c r="C43" s="203"/>
      <c r="D43" s="213"/>
      <c r="E43" s="213"/>
      <c r="F43" s="203"/>
      <c r="G43" s="213"/>
      <c r="H43" s="201"/>
      <c r="I43" s="213"/>
      <c r="J43" s="201"/>
      <c r="K43" s="213"/>
      <c r="L43" s="196"/>
      <c r="M43" s="213"/>
    </row>
    <row r="44" spans="1:28" s="3" customFormat="1" ht="10.199999999999999">
      <c r="A44" s="214" t="s">
        <v>106</v>
      </c>
      <c r="B44" s="234">
        <v>14.71</v>
      </c>
      <c r="C44" s="244">
        <f t="shared" ref="C44:C71" si="5">IF((+B44/D44)&lt;0,"n.m.",IF(B44&lt;0,(+B44/D44-1)*-1,(+B44/D44-1)))</f>
        <v>0.1988590057049715</v>
      </c>
      <c r="D44" s="234">
        <v>12.27</v>
      </c>
      <c r="E44" s="234">
        <v>52.38</v>
      </c>
      <c r="F44" s="244">
        <f t="shared" ref="F44:H71" si="6">IF((+E44/G44)&lt;0,"n.m.",IF(E44&lt;0,(+E44/G44-1)*-1,(+E44/G44-1)))</f>
        <v>-4.1186161449752845E-2</v>
      </c>
      <c r="G44" s="234">
        <v>54.63</v>
      </c>
      <c r="H44" s="244">
        <f t="shared" si="6"/>
        <v>-3.4805653710247353E-2</v>
      </c>
      <c r="I44" s="234">
        <v>56.6</v>
      </c>
      <c r="J44" s="203"/>
      <c r="K44" s="216"/>
      <c r="L44" s="203"/>
      <c r="M44" s="217"/>
      <c r="N44" s="14"/>
      <c r="O44" s="33"/>
      <c r="P44" s="120"/>
      <c r="Q44" s="7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s="3" customFormat="1" ht="10.199999999999999">
      <c r="A45" s="214" t="s">
        <v>107</v>
      </c>
      <c r="B45" s="234">
        <v>7.31</v>
      </c>
      <c r="C45" s="244">
        <f t="shared" si="5"/>
        <v>-0.36212914485165804</v>
      </c>
      <c r="D45" s="234">
        <v>11.46</v>
      </c>
      <c r="E45" s="234">
        <v>32.42</v>
      </c>
      <c r="F45" s="244">
        <f t="shared" si="6"/>
        <v>-0.10218775962337301</v>
      </c>
      <c r="G45" s="234">
        <v>36.11</v>
      </c>
      <c r="H45" s="244">
        <f t="shared" si="6"/>
        <v>9.5051719317862382E-3</v>
      </c>
      <c r="I45" s="234">
        <v>35.770000000000003</v>
      </c>
      <c r="J45" s="203"/>
      <c r="K45" s="216"/>
      <c r="L45" s="203"/>
      <c r="M45" s="217"/>
      <c r="N45" s="14"/>
      <c r="O45" s="33"/>
      <c r="P45" s="120"/>
      <c r="Q45" s="7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s="3" customFormat="1" ht="10.199999999999999">
      <c r="A46" s="214" t="s">
        <v>108</v>
      </c>
      <c r="B46" s="234">
        <v>2.11</v>
      </c>
      <c r="C46" s="244">
        <f t="shared" si="5"/>
        <v>-0.14919354838709686</v>
      </c>
      <c r="D46" s="234">
        <v>2.48</v>
      </c>
      <c r="E46" s="234">
        <v>7.94</v>
      </c>
      <c r="F46" s="244">
        <f t="shared" si="6"/>
        <v>-3.6407766990291246E-2</v>
      </c>
      <c r="G46" s="234">
        <v>8.24</v>
      </c>
      <c r="H46" s="244">
        <f t="shared" si="6"/>
        <v>-0.47111681643132219</v>
      </c>
      <c r="I46" s="234">
        <v>15.58</v>
      </c>
      <c r="J46" s="203"/>
      <c r="K46" s="216"/>
      <c r="L46" s="203"/>
      <c r="M46" s="217"/>
      <c r="N46" s="14"/>
      <c r="O46" s="33"/>
      <c r="P46" s="120"/>
      <c r="Q46" s="7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s="3" customFormat="1" ht="10.199999999999999">
      <c r="A47" s="214" t="s">
        <v>109</v>
      </c>
      <c r="B47" s="234">
        <v>1.34</v>
      </c>
      <c r="C47" s="244">
        <f t="shared" si="5"/>
        <v>0.48888888888888893</v>
      </c>
      <c r="D47" s="234">
        <v>0.9</v>
      </c>
      <c r="E47" s="234">
        <v>8.36</v>
      </c>
      <c r="F47" s="244">
        <f t="shared" si="6"/>
        <v>0.47964601769911486</v>
      </c>
      <c r="G47" s="234">
        <v>5.65</v>
      </c>
      <c r="H47" s="244">
        <f t="shared" si="6"/>
        <v>-4.7217537942664478E-2</v>
      </c>
      <c r="I47" s="234">
        <v>5.9300000000000006</v>
      </c>
      <c r="J47" s="203"/>
      <c r="K47" s="216"/>
      <c r="L47" s="203"/>
      <c r="M47" s="217"/>
      <c r="N47" s="14"/>
      <c r="O47" s="33"/>
      <c r="P47" s="120"/>
      <c r="Q47" s="7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s="11" customFormat="1" ht="10.199999999999999">
      <c r="A48" s="214" t="s">
        <v>110</v>
      </c>
      <c r="B48" s="234">
        <v>0.63</v>
      </c>
      <c r="C48" s="244">
        <f t="shared" si="5"/>
        <v>-0.86792452830188682</v>
      </c>
      <c r="D48" s="234">
        <v>4.7699999999999996</v>
      </c>
      <c r="E48" s="234">
        <v>8.77</v>
      </c>
      <c r="F48" s="244">
        <f t="shared" si="6"/>
        <v>0.50946643717728057</v>
      </c>
      <c r="G48" s="234">
        <v>5.81</v>
      </c>
      <c r="H48" s="244">
        <f t="shared" si="6"/>
        <v>0.24678111587982809</v>
      </c>
      <c r="I48" s="234">
        <v>4.66</v>
      </c>
      <c r="J48" s="203"/>
      <c r="K48" s="216"/>
      <c r="L48" s="203"/>
      <c r="M48" s="217"/>
      <c r="N48" s="14"/>
      <c r="O48" s="33"/>
      <c r="P48" s="120"/>
      <c r="Q48" s="77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s="11" customFormat="1" ht="10.199999999999999">
      <c r="A49" s="214" t="s">
        <v>111</v>
      </c>
      <c r="B49" s="234">
        <v>1.23</v>
      </c>
      <c r="C49" s="244">
        <f t="shared" si="5"/>
        <v>0.89230769230769225</v>
      </c>
      <c r="D49" s="234">
        <v>0.65</v>
      </c>
      <c r="E49" s="234">
        <v>8.86</v>
      </c>
      <c r="F49" s="244">
        <f t="shared" si="6"/>
        <v>0.5963963963963963</v>
      </c>
      <c r="G49" s="234">
        <v>5.55</v>
      </c>
      <c r="H49" s="244">
        <f t="shared" si="6"/>
        <v>0.875</v>
      </c>
      <c r="I49" s="234">
        <v>2.96</v>
      </c>
      <c r="J49" s="203"/>
      <c r="K49" s="216"/>
      <c r="L49" s="203"/>
      <c r="M49" s="217"/>
      <c r="N49" s="14"/>
      <c r="O49" s="33"/>
      <c r="P49" s="120"/>
      <c r="Q49" s="77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s="11" customFormat="1" ht="10.199999999999999">
      <c r="A50" s="214" t="s">
        <v>112</v>
      </c>
      <c r="B50" s="234">
        <v>0.15</v>
      </c>
      <c r="C50" s="244">
        <f t="shared" si="5"/>
        <v>0.36363636363636354</v>
      </c>
      <c r="D50" s="234">
        <v>0.11</v>
      </c>
      <c r="E50" s="234">
        <v>1</v>
      </c>
      <c r="F50" s="244">
        <f t="shared" si="6"/>
        <v>-0.38650306748466257</v>
      </c>
      <c r="G50" s="234">
        <v>1.63</v>
      </c>
      <c r="H50" s="244">
        <f t="shared" si="6"/>
        <v>-0.17258883248730972</v>
      </c>
      <c r="I50" s="234">
        <v>1.97</v>
      </c>
      <c r="J50" s="203"/>
      <c r="K50" s="216"/>
      <c r="L50" s="203"/>
      <c r="M50" s="217"/>
      <c r="N50" s="14"/>
      <c r="O50" s="33"/>
      <c r="P50" s="120"/>
      <c r="Q50" s="77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s="11" customFormat="1" ht="10.199999999999999">
      <c r="A51" s="214" t="s">
        <v>113</v>
      </c>
      <c r="B51" s="234">
        <v>0.16999999999999998</v>
      </c>
      <c r="C51" s="244">
        <f t="shared" si="5"/>
        <v>3.2499999999999991</v>
      </c>
      <c r="D51" s="234">
        <v>0.04</v>
      </c>
      <c r="E51" s="234">
        <v>0.52</v>
      </c>
      <c r="F51" s="244">
        <f t="shared" si="6"/>
        <v>-0.81090909090909091</v>
      </c>
      <c r="G51" s="234">
        <v>2.75</v>
      </c>
      <c r="H51" s="244">
        <f t="shared" si="6"/>
        <v>0.27906976744186052</v>
      </c>
      <c r="I51" s="234">
        <v>2.15</v>
      </c>
      <c r="J51" s="203"/>
      <c r="K51" s="216"/>
      <c r="L51" s="203"/>
      <c r="M51" s="217"/>
      <c r="N51" s="14"/>
      <c r="O51" s="33"/>
      <c r="P51" s="120"/>
      <c r="Q51" s="77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s="11" customFormat="1" ht="10.199999999999999">
      <c r="A52" s="214" t="s">
        <v>114</v>
      </c>
      <c r="B52" s="234">
        <v>0.12</v>
      </c>
      <c r="C52" s="244">
        <f t="shared" si="5"/>
        <v>9.0909090909090828E-2</v>
      </c>
      <c r="D52" s="234">
        <v>0.11</v>
      </c>
      <c r="E52" s="234">
        <v>1</v>
      </c>
      <c r="F52" s="244">
        <f t="shared" si="6"/>
        <v>0.19047619047619047</v>
      </c>
      <c r="G52" s="234">
        <v>0.84</v>
      </c>
      <c r="H52" s="244">
        <f t="shared" si="6"/>
        <v>0.37704918032786883</v>
      </c>
      <c r="I52" s="234">
        <v>0.61</v>
      </c>
      <c r="J52" s="203"/>
      <c r="K52" s="216"/>
      <c r="L52" s="203"/>
      <c r="M52" s="217"/>
      <c r="N52" s="14"/>
      <c r="O52" s="33"/>
      <c r="P52" s="120"/>
      <c r="Q52" s="77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s="11" customFormat="1" ht="10.199999999999999">
      <c r="A53" s="214" t="s">
        <v>115</v>
      </c>
      <c r="B53" s="234">
        <v>0.3</v>
      </c>
      <c r="C53" s="244"/>
      <c r="D53" s="234">
        <v>0.01</v>
      </c>
      <c r="E53" s="234">
        <v>0.06</v>
      </c>
      <c r="F53" s="244">
        <f t="shared" si="6"/>
        <v>-0.14285714285714302</v>
      </c>
      <c r="G53" s="234">
        <v>7.0000000000000007E-2</v>
      </c>
      <c r="H53" s="244">
        <f t="shared" si="6"/>
        <v>-0.12499999999999989</v>
      </c>
      <c r="I53" s="234">
        <v>0.08</v>
      </c>
      <c r="J53" s="203"/>
      <c r="K53" s="216"/>
      <c r="L53" s="203"/>
      <c r="M53" s="217"/>
      <c r="N53" s="14"/>
      <c r="O53" s="33"/>
      <c r="P53" s="120"/>
      <c r="Q53" s="77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s="11" customFormat="1" ht="10.199999999999999">
      <c r="A54" s="214" t="s">
        <v>116</v>
      </c>
      <c r="B54" s="234">
        <v>0.11</v>
      </c>
      <c r="C54" s="244">
        <f t="shared" si="5"/>
        <v>-0.67647058823529416</v>
      </c>
      <c r="D54" s="234">
        <v>0.34</v>
      </c>
      <c r="E54" s="234">
        <v>0.8</v>
      </c>
      <c r="F54" s="244">
        <f t="shared" si="6"/>
        <v>0.35593220338983067</v>
      </c>
      <c r="G54" s="234">
        <v>0.59</v>
      </c>
      <c r="H54" s="244">
        <f t="shared" si="6"/>
        <v>-0.43809523809523809</v>
      </c>
      <c r="I54" s="234">
        <v>1.05</v>
      </c>
      <c r="J54" s="203"/>
      <c r="K54" s="216"/>
      <c r="L54" s="203"/>
      <c r="M54" s="217"/>
      <c r="N54" s="14"/>
      <c r="O54" s="33"/>
      <c r="P54" s="120"/>
      <c r="Q54" s="77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s="11" customFormat="1" ht="10.199999999999999">
      <c r="A55" s="214" t="s">
        <v>117</v>
      </c>
      <c r="B55" s="234">
        <v>0.3</v>
      </c>
      <c r="C55" s="244">
        <f t="shared" si="5"/>
        <v>0.30434782608695632</v>
      </c>
      <c r="D55" s="234">
        <v>0.23</v>
      </c>
      <c r="E55" s="234">
        <v>1.06</v>
      </c>
      <c r="F55" s="244">
        <f t="shared" si="6"/>
        <v>6.0000000000000053E-2</v>
      </c>
      <c r="G55" s="234">
        <v>1</v>
      </c>
      <c r="H55" s="244">
        <f t="shared" si="6"/>
        <v>6.3829787234042534E-2</v>
      </c>
      <c r="I55" s="234">
        <v>0.94000000000000006</v>
      </c>
      <c r="J55" s="203"/>
      <c r="K55" s="216"/>
      <c r="L55" s="203"/>
      <c r="M55" s="217"/>
      <c r="N55" s="14"/>
      <c r="O55" s="33"/>
      <c r="P55" s="120"/>
      <c r="Q55" s="77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s="11" customFormat="1" ht="10.199999999999999">
      <c r="A56" s="214" t="s">
        <v>118</v>
      </c>
      <c r="B56" s="234">
        <v>0.56000000000000005</v>
      </c>
      <c r="C56" s="244">
        <f t="shared" si="5"/>
        <v>-0.43434343434343425</v>
      </c>
      <c r="D56" s="234">
        <v>0.99</v>
      </c>
      <c r="E56" s="234">
        <v>3.69</v>
      </c>
      <c r="F56" s="244">
        <f t="shared" si="6"/>
        <v>-0.185430463576159</v>
      </c>
      <c r="G56" s="234">
        <v>4.53</v>
      </c>
      <c r="H56" s="244">
        <f t="shared" si="6"/>
        <v>0.20799999999999996</v>
      </c>
      <c r="I56" s="234">
        <v>3.75</v>
      </c>
      <c r="J56" s="203"/>
      <c r="K56" s="216"/>
      <c r="L56" s="203"/>
      <c r="M56" s="217"/>
      <c r="N56" s="14"/>
      <c r="O56" s="33"/>
      <c r="P56" s="120"/>
      <c r="Q56" s="77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s="11" customFormat="1" ht="10.199999999999999">
      <c r="A57" s="214" t="s">
        <v>119</v>
      </c>
      <c r="B57" s="235">
        <v>0.19</v>
      </c>
      <c r="C57" s="244">
        <f t="shared" si="5"/>
        <v>0.1875</v>
      </c>
      <c r="D57" s="235">
        <v>0.16</v>
      </c>
      <c r="E57" s="235">
        <v>0.71</v>
      </c>
      <c r="F57" s="244">
        <f t="shared" si="6"/>
        <v>-0.5</v>
      </c>
      <c r="G57" s="235">
        <v>1.42</v>
      </c>
      <c r="H57" s="244">
        <f t="shared" si="6"/>
        <v>0.16393442622950816</v>
      </c>
      <c r="I57" s="235">
        <v>1.22</v>
      </c>
      <c r="J57" s="203"/>
      <c r="K57" s="219"/>
      <c r="L57" s="203"/>
      <c r="M57" s="220"/>
      <c r="N57" s="14"/>
      <c r="O57" s="33"/>
      <c r="P57" s="120"/>
      <c r="Q57" s="77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s="11" customFormat="1" ht="10.199999999999999">
      <c r="A58" s="214" t="s">
        <v>120</v>
      </c>
      <c r="B58" s="234">
        <v>0.22</v>
      </c>
      <c r="C58" s="244">
        <f t="shared" si="5"/>
        <v>-0.26666666666666661</v>
      </c>
      <c r="D58" s="234">
        <v>0.3</v>
      </c>
      <c r="E58" s="234">
        <v>1.38</v>
      </c>
      <c r="F58" s="244">
        <f t="shared" si="6"/>
        <v>1.4705882352941124E-2</v>
      </c>
      <c r="G58" s="234">
        <v>1.36</v>
      </c>
      <c r="H58" s="244">
        <f t="shared" si="6"/>
        <v>-0.28042328042328035</v>
      </c>
      <c r="I58" s="234">
        <v>1.89</v>
      </c>
      <c r="J58" s="203"/>
      <c r="K58" s="216"/>
      <c r="L58" s="203"/>
      <c r="M58" s="217"/>
      <c r="N58" s="14"/>
      <c r="O58" s="33"/>
      <c r="P58" s="120"/>
      <c r="Q58" s="77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s="3" customFormat="1" ht="10.199999999999999">
      <c r="A59" s="214" t="s">
        <v>121</v>
      </c>
      <c r="B59" s="234">
        <v>0.01</v>
      </c>
      <c r="C59" s="244">
        <f t="shared" si="5"/>
        <v>-0.83333333333333326</v>
      </c>
      <c r="D59" s="234">
        <v>0.06</v>
      </c>
      <c r="E59" s="234">
        <v>0.03</v>
      </c>
      <c r="F59" s="244">
        <f t="shared" si="6"/>
        <v>-0.88888888888888884</v>
      </c>
      <c r="G59" s="234">
        <v>0.27</v>
      </c>
      <c r="H59" s="244">
        <f t="shared" si="6"/>
        <v>3.8461538461538547E-2</v>
      </c>
      <c r="I59" s="234">
        <v>0.26</v>
      </c>
      <c r="J59" s="203"/>
      <c r="K59" s="216"/>
      <c r="L59" s="203"/>
      <c r="M59" s="217"/>
      <c r="N59" s="14"/>
      <c r="O59" s="33"/>
      <c r="P59" s="120"/>
      <c r="Q59" s="7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s="11" customFormat="1" ht="10.199999999999999">
      <c r="A60" s="214" t="s">
        <v>122</v>
      </c>
      <c r="B60" s="234">
        <v>0.33</v>
      </c>
      <c r="C60" s="244">
        <f t="shared" si="5"/>
        <v>0.26923076923076916</v>
      </c>
      <c r="D60" s="234">
        <v>0.26</v>
      </c>
      <c r="E60" s="234">
        <v>0.82</v>
      </c>
      <c r="F60" s="244">
        <f t="shared" si="6"/>
        <v>0.6734693877551019</v>
      </c>
      <c r="G60" s="234">
        <v>0.49</v>
      </c>
      <c r="H60" s="244">
        <f t="shared" si="6"/>
        <v>4.4444444444444446</v>
      </c>
      <c r="I60" s="234">
        <v>0.09</v>
      </c>
      <c r="J60" s="203"/>
      <c r="K60" s="216"/>
      <c r="L60" s="203"/>
      <c r="M60" s="217"/>
      <c r="N60" s="14"/>
      <c r="O60" s="33"/>
      <c r="P60" s="120"/>
      <c r="Q60" s="77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s="11" customFormat="1" ht="10.199999999999999">
      <c r="A61" s="214" t="s">
        <v>123</v>
      </c>
      <c r="B61" s="234">
        <v>6.0000000000000005E-2</v>
      </c>
      <c r="C61" s="244">
        <f t="shared" si="5"/>
        <v>-0.6</v>
      </c>
      <c r="D61" s="234">
        <v>0.15</v>
      </c>
      <c r="E61" s="234">
        <v>0.18</v>
      </c>
      <c r="F61" s="244">
        <f t="shared" si="6"/>
        <v>-0.7857142857142857</v>
      </c>
      <c r="G61" s="234">
        <v>0.84</v>
      </c>
      <c r="H61" s="244">
        <f t="shared" si="6"/>
        <v>15.799999999999997</v>
      </c>
      <c r="I61" s="234">
        <v>0.05</v>
      </c>
      <c r="J61" s="203"/>
      <c r="K61" s="216"/>
      <c r="L61" s="203"/>
      <c r="M61" s="217"/>
      <c r="N61" s="14"/>
      <c r="O61" s="33"/>
      <c r="P61" s="120"/>
      <c r="Q61" s="77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s="11" customFormat="1" ht="10.199999999999999">
      <c r="A62" s="214" t="s">
        <v>124</v>
      </c>
      <c r="B62" s="234">
        <v>6.0000000000000005E-2</v>
      </c>
      <c r="C62" s="244">
        <f t="shared" si="5"/>
        <v>2.2204460492503131E-16</v>
      </c>
      <c r="D62" s="234">
        <v>0.06</v>
      </c>
      <c r="E62" s="234">
        <v>0.6</v>
      </c>
      <c r="F62" s="289" t="s">
        <v>14</v>
      </c>
      <c r="G62" s="234">
        <v>0.01</v>
      </c>
      <c r="H62" s="244"/>
      <c r="I62" s="234">
        <v>0</v>
      </c>
      <c r="J62" s="203"/>
      <c r="K62" s="216"/>
      <c r="L62" s="203"/>
      <c r="M62" s="217"/>
      <c r="N62" s="14"/>
      <c r="O62" s="33"/>
      <c r="P62" s="120"/>
      <c r="Q62" s="77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s="11" customFormat="1" ht="10.199999999999999">
      <c r="A63" s="214" t="s">
        <v>125</v>
      </c>
      <c r="B63" s="234">
        <v>0.09</v>
      </c>
      <c r="C63" s="244">
        <f t="shared" si="5"/>
        <v>8</v>
      </c>
      <c r="D63" s="234">
        <v>0.01</v>
      </c>
      <c r="E63" s="234">
        <v>0.57999999999999996</v>
      </c>
      <c r="F63" s="244">
        <f t="shared" si="6"/>
        <v>1.3199999999999998</v>
      </c>
      <c r="G63" s="234">
        <v>0.25</v>
      </c>
      <c r="H63" s="244">
        <f t="shared" si="6"/>
        <v>0.66666666666666674</v>
      </c>
      <c r="I63" s="234">
        <v>0.15</v>
      </c>
      <c r="J63" s="221"/>
      <c r="K63" s="216"/>
      <c r="L63" s="221"/>
      <c r="M63" s="217"/>
      <c r="N63" s="37"/>
      <c r="O63" s="38"/>
      <c r="P63" s="125"/>
      <c r="Q63" s="77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s="11" customFormat="1" ht="10.199999999999999">
      <c r="A64" s="214" t="s">
        <v>126</v>
      </c>
      <c r="B64" s="236">
        <v>0.6</v>
      </c>
      <c r="C64" s="244">
        <f t="shared" si="5"/>
        <v>1.7272727272727271</v>
      </c>
      <c r="D64" s="236">
        <v>0.22</v>
      </c>
      <c r="E64" s="236">
        <v>4.8</v>
      </c>
      <c r="F64" s="244">
        <f t="shared" si="6"/>
        <v>39</v>
      </c>
      <c r="G64" s="236">
        <v>0.12</v>
      </c>
      <c r="H64" s="244">
        <f t="shared" si="6"/>
        <v>0.19999999999999996</v>
      </c>
      <c r="I64" s="236">
        <v>0.1</v>
      </c>
      <c r="J64" s="203"/>
      <c r="K64" s="223"/>
      <c r="L64" s="203"/>
      <c r="M64" s="222"/>
      <c r="N64" s="13"/>
      <c r="O64" s="33"/>
      <c r="P64" s="13"/>
      <c r="Q64" s="33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s="11" customFormat="1" ht="10.199999999999999">
      <c r="A65" s="214" t="s">
        <v>127</v>
      </c>
      <c r="B65" s="236">
        <v>0.06</v>
      </c>
      <c r="C65" s="244">
        <f t="shared" si="5"/>
        <v>2</v>
      </c>
      <c r="D65" s="236">
        <v>0.02</v>
      </c>
      <c r="E65" s="236">
        <v>0.16</v>
      </c>
      <c r="F65" s="244">
        <f t="shared" si="6"/>
        <v>-0.64444444444444438</v>
      </c>
      <c r="G65" s="236">
        <v>0.45</v>
      </c>
      <c r="H65" s="244">
        <f t="shared" si="6"/>
        <v>0.18421052631578938</v>
      </c>
      <c r="I65" s="236">
        <v>0.38</v>
      </c>
      <c r="J65" s="203"/>
      <c r="K65" s="223"/>
      <c r="L65" s="203"/>
      <c r="M65" s="222"/>
      <c r="N65" s="13"/>
      <c r="O65" s="33"/>
      <c r="P65" s="13"/>
      <c r="Q65" s="33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s="11" customFormat="1" ht="10.199999999999999">
      <c r="A66" s="220" t="s">
        <v>106</v>
      </c>
      <c r="B66" s="237">
        <f>B44</f>
        <v>14.71</v>
      </c>
      <c r="C66" s="244">
        <f t="shared" si="5"/>
        <v>0.1988590057049715</v>
      </c>
      <c r="D66" s="237">
        <f>D44</f>
        <v>12.27</v>
      </c>
      <c r="E66" s="237">
        <f>E44</f>
        <v>52.38</v>
      </c>
      <c r="F66" s="244">
        <f t="shared" si="6"/>
        <v>-4.1186161449752845E-2</v>
      </c>
      <c r="G66" s="237">
        <f>G44</f>
        <v>54.63</v>
      </c>
      <c r="H66" s="244">
        <f t="shared" si="6"/>
        <v>-3.4805653710247353E-2</v>
      </c>
      <c r="I66" s="237">
        <f>I44</f>
        <v>56.6</v>
      </c>
      <c r="J66" s="203"/>
      <c r="K66" s="225"/>
      <c r="L66" s="203"/>
      <c r="M66" s="222"/>
      <c r="N66" s="14"/>
      <c r="O66" s="33"/>
      <c r="P66" s="120"/>
      <c r="Q66" s="33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s="11" customFormat="1" ht="10.199999999999999">
      <c r="A67" s="220" t="s">
        <v>107</v>
      </c>
      <c r="B67" s="237">
        <f>B45</f>
        <v>7.31</v>
      </c>
      <c r="C67" s="244">
        <f t="shared" si="5"/>
        <v>-0.36212914485165804</v>
      </c>
      <c r="D67" s="237">
        <f>D45</f>
        <v>11.46</v>
      </c>
      <c r="E67" s="237">
        <f>E45</f>
        <v>32.42</v>
      </c>
      <c r="F67" s="244">
        <f t="shared" si="6"/>
        <v>-0.10218775962337301</v>
      </c>
      <c r="G67" s="237">
        <f>G45</f>
        <v>36.11</v>
      </c>
      <c r="H67" s="244">
        <f t="shared" si="6"/>
        <v>9.5051719317862382E-3</v>
      </c>
      <c r="I67" s="237">
        <f>I45</f>
        <v>35.770000000000003</v>
      </c>
      <c r="J67" s="203"/>
      <c r="K67" s="225"/>
      <c r="L67" s="203"/>
      <c r="M67" s="222"/>
      <c r="N67" s="14"/>
      <c r="O67" s="33"/>
      <c r="P67" s="120"/>
      <c r="Q67" s="33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s="3" customFormat="1" ht="10.199999999999999">
      <c r="A68" s="220" t="s">
        <v>128</v>
      </c>
      <c r="B68" s="235">
        <f>B46+B47+B48+B49+B50+B51+B52+B53+B54+B55</f>
        <v>6.4600000000000009</v>
      </c>
      <c r="C68" s="244">
        <f t="shared" si="5"/>
        <v>-0.32987551867219889</v>
      </c>
      <c r="D68" s="235">
        <f>D46+D47+D48+D49+D50+D51+D52+D53+D54+D55</f>
        <v>9.639999999999997</v>
      </c>
      <c r="E68" s="235">
        <f>E46+E47+E48+E49+E50+E51+E52+E53+E54+E55</f>
        <v>38.370000000000005</v>
      </c>
      <c r="F68" s="244">
        <f t="shared" si="6"/>
        <v>0.19421101774042993</v>
      </c>
      <c r="G68" s="235">
        <f>G46+G47+G48+G49+G50+G51+G52+G53+G54+G55</f>
        <v>32.129999999999995</v>
      </c>
      <c r="H68" s="244">
        <f t="shared" si="6"/>
        <v>-0.10576120233787911</v>
      </c>
      <c r="I68" s="235">
        <f>I46+I47+I48+I49+I50+I51+I52+I53+I54+I55</f>
        <v>35.929999999999993</v>
      </c>
      <c r="J68" s="203"/>
      <c r="K68" s="219"/>
      <c r="L68" s="203"/>
      <c r="M68" s="226"/>
      <c r="N68" s="14"/>
      <c r="O68" s="21"/>
      <c r="P68" s="120"/>
      <c r="Q68" s="2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s="3" customFormat="1" ht="10.199999999999999">
      <c r="A69" s="220" t="s">
        <v>129</v>
      </c>
      <c r="B69" s="235">
        <f>B56+B57+B58+B59+B60+B61</f>
        <v>1.37</v>
      </c>
      <c r="C69" s="244">
        <f t="shared" si="5"/>
        <v>-0.28645833333333326</v>
      </c>
      <c r="D69" s="235">
        <f>D56+D57+D58+D59+D60+D61</f>
        <v>1.92</v>
      </c>
      <c r="E69" s="235">
        <f>E56+E57+E58+E59+E60+E61</f>
        <v>6.8100000000000005</v>
      </c>
      <c r="F69" s="244">
        <f t="shared" si="6"/>
        <v>-0.23569023569023562</v>
      </c>
      <c r="G69" s="235">
        <f>G56+G57+G58+G59+G60+G61</f>
        <v>8.91</v>
      </c>
      <c r="H69" s="244">
        <f t="shared" si="6"/>
        <v>0.22727272727272751</v>
      </c>
      <c r="I69" s="235">
        <f>I56+I57+I58+I59+I60+I61</f>
        <v>7.2599999999999989</v>
      </c>
      <c r="J69" s="203"/>
      <c r="K69" s="219"/>
      <c r="L69" s="203"/>
      <c r="M69" s="226"/>
      <c r="N69" s="14"/>
      <c r="O69" s="21"/>
      <c r="P69" s="120"/>
      <c r="Q69" s="2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s="11" customFormat="1" ht="10.199999999999999">
      <c r="A70" s="220" t="s">
        <v>130</v>
      </c>
      <c r="B70" s="235">
        <f>B62+B63+B64+B65</f>
        <v>0.81</v>
      </c>
      <c r="C70" s="244">
        <f t="shared" si="5"/>
        <v>1.612903225806452</v>
      </c>
      <c r="D70" s="235">
        <f>D62+D63+D64+D65</f>
        <v>0.31</v>
      </c>
      <c r="E70" s="235">
        <f>E62+E63+E64+E65</f>
        <v>6.14</v>
      </c>
      <c r="F70" s="244">
        <f t="shared" si="6"/>
        <v>6.3975903614457819</v>
      </c>
      <c r="G70" s="235">
        <f>G62+G63+G64+G65</f>
        <v>0.83000000000000007</v>
      </c>
      <c r="H70" s="244">
        <f t="shared" si="6"/>
        <v>0.31746031746031766</v>
      </c>
      <c r="I70" s="235">
        <f>I62+I63+I64+I65</f>
        <v>0.63</v>
      </c>
      <c r="J70" s="203"/>
      <c r="K70" s="219"/>
      <c r="L70" s="203"/>
      <c r="M70" s="226"/>
      <c r="N70" s="14"/>
      <c r="O70" s="21"/>
      <c r="P70" s="120"/>
      <c r="Q70" s="21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s="109" customFormat="1" ht="10.199999999999999" customHeight="1">
      <c r="A71" s="227" t="s">
        <v>134</v>
      </c>
      <c r="B71" s="238">
        <f>SUM(B66:B70)</f>
        <v>30.66</v>
      </c>
      <c r="C71" s="245">
        <f t="shared" si="5"/>
        <v>-0.13876404494382022</v>
      </c>
      <c r="D71" s="238">
        <f>SUM(D66:D70)</f>
        <v>35.6</v>
      </c>
      <c r="E71" s="238">
        <f>SUM(E66:E70)</f>
        <v>136.12</v>
      </c>
      <c r="F71" s="245">
        <f t="shared" si="6"/>
        <v>2.6468592112208755E-2</v>
      </c>
      <c r="G71" s="238">
        <f>SUM(G66:G70)</f>
        <v>132.61000000000001</v>
      </c>
      <c r="H71" s="245">
        <f t="shared" si="6"/>
        <v>-2.6286805198619478E-2</v>
      </c>
      <c r="I71" s="238">
        <f>SUM(I66:I70)</f>
        <v>136.19</v>
      </c>
      <c r="J71" s="195">
        <f>(I71-K71)/K71</f>
        <v>9.1003765120563962E-2</v>
      </c>
      <c r="K71" s="238">
        <v>124.83</v>
      </c>
      <c r="L71" s="195">
        <v>-0.25345374080497574</v>
      </c>
      <c r="M71" s="238">
        <v>167.20999999999998</v>
      </c>
    </row>
    <row r="72" spans="1:28" ht="10.199999999999999" customHeight="1">
      <c r="A72" s="214"/>
      <c r="B72" s="220"/>
      <c r="C72" s="203"/>
      <c r="D72" s="220"/>
      <c r="E72" s="220"/>
      <c r="F72" s="203"/>
      <c r="G72" s="220"/>
      <c r="H72" s="201"/>
      <c r="I72" s="220"/>
      <c r="J72" s="201"/>
      <c r="K72" s="220"/>
      <c r="L72" s="196"/>
      <c r="M72" s="220"/>
    </row>
    <row r="73" spans="1:28" ht="10.199999999999999" customHeight="1">
      <c r="A73" s="239" t="s">
        <v>5</v>
      </c>
      <c r="B73" s="240"/>
      <c r="C73" s="203"/>
      <c r="D73" s="240"/>
      <c r="E73" s="240"/>
      <c r="F73" s="203"/>
      <c r="G73" s="240"/>
      <c r="H73" s="201"/>
      <c r="I73" s="240"/>
      <c r="J73" s="201"/>
      <c r="K73" s="240"/>
      <c r="L73" s="201"/>
      <c r="M73" s="240"/>
    </row>
    <row r="74" spans="1:28" s="3" customFormat="1" ht="10.199999999999999">
      <c r="A74" s="214" t="s">
        <v>106</v>
      </c>
      <c r="B74" s="234">
        <v>3.65</v>
      </c>
      <c r="C74" s="244">
        <f t="shared" ref="C74:C101" si="7">IF((+B74/D74)&lt;0,"n.m.",IF(B74&lt;0,(+B74/D74-1)*-1,(+B74/D74-1)))</f>
        <v>-0.63205645161290325</v>
      </c>
      <c r="D74" s="234">
        <v>9.92</v>
      </c>
      <c r="E74" s="234">
        <v>4.9800000000000004</v>
      </c>
      <c r="F74" s="244">
        <f t="shared" ref="F74:H101" si="8">IF((+E74/G74)&lt;0,"n.m.",IF(E74&lt;0,(+E74/G74-1)*-1,(+E74/G74-1)))</f>
        <v>-0.1324041811846689</v>
      </c>
      <c r="G74" s="234">
        <v>5.74</v>
      </c>
      <c r="H74" s="244">
        <f t="shared" si="8"/>
        <v>-0.28960396039603964</v>
      </c>
      <c r="I74" s="234">
        <v>8.08</v>
      </c>
      <c r="J74" s="203"/>
      <c r="K74" s="216"/>
      <c r="L74" s="203"/>
      <c r="M74" s="217"/>
      <c r="N74" s="14"/>
      <c r="O74" s="33"/>
      <c r="P74" s="120"/>
      <c r="Q74" s="7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s="3" customFormat="1" ht="10.199999999999999">
      <c r="A75" s="214" t="s">
        <v>107</v>
      </c>
      <c r="B75" s="234">
        <v>7.0000000000000007E-2</v>
      </c>
      <c r="C75" s="244">
        <f t="shared" si="7"/>
        <v>-0.87037037037037035</v>
      </c>
      <c r="D75" s="234">
        <v>0.54</v>
      </c>
      <c r="E75" s="234">
        <v>0.14000000000000001</v>
      </c>
      <c r="F75" s="244">
        <f t="shared" si="8"/>
        <v>-0.77777777777777779</v>
      </c>
      <c r="G75" s="234">
        <v>0.63</v>
      </c>
      <c r="H75" s="244">
        <f t="shared" si="8"/>
        <v>-0.50393700787401574</v>
      </c>
      <c r="I75" s="234">
        <v>1.27</v>
      </c>
      <c r="J75" s="203"/>
      <c r="K75" s="216"/>
      <c r="L75" s="203"/>
      <c r="M75" s="217"/>
      <c r="N75" s="14"/>
      <c r="O75" s="33"/>
      <c r="P75" s="120"/>
      <c r="Q75" s="7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s="3" customFormat="1" ht="10.199999999999999">
      <c r="A76" s="214" t="s">
        <v>108</v>
      </c>
      <c r="B76" s="234">
        <v>0.02</v>
      </c>
      <c r="C76" s="244">
        <f t="shared" si="7"/>
        <v>-0.95348837209302328</v>
      </c>
      <c r="D76" s="234">
        <v>0.43</v>
      </c>
      <c r="E76" s="234">
        <v>0.31</v>
      </c>
      <c r="F76" s="244">
        <f t="shared" si="8"/>
        <v>-0.22500000000000009</v>
      </c>
      <c r="G76" s="234">
        <v>0.4</v>
      </c>
      <c r="H76" s="244">
        <f t="shared" si="8"/>
        <v>0.29032258064516148</v>
      </c>
      <c r="I76" s="234">
        <v>0.31</v>
      </c>
      <c r="J76" s="203"/>
      <c r="K76" s="216"/>
      <c r="L76" s="203"/>
      <c r="M76" s="217"/>
      <c r="N76" s="14"/>
      <c r="O76" s="33"/>
      <c r="P76" s="120"/>
      <c r="Q76" s="7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s="3" customFormat="1" ht="10.199999999999999">
      <c r="A77" s="214" t="s">
        <v>109</v>
      </c>
      <c r="B77" s="234">
        <v>0.01</v>
      </c>
      <c r="C77" s="244">
        <f t="shared" si="7"/>
        <v>-0.97560975609756095</v>
      </c>
      <c r="D77" s="234">
        <v>0.41</v>
      </c>
      <c r="E77" s="234">
        <v>0.28000000000000003</v>
      </c>
      <c r="F77" s="244">
        <f t="shared" si="8"/>
        <v>-0.29999999999999993</v>
      </c>
      <c r="G77" s="234">
        <v>0.4</v>
      </c>
      <c r="H77" s="244">
        <f t="shared" si="8"/>
        <v>-2.4390243902438935E-2</v>
      </c>
      <c r="I77" s="234">
        <v>0.41</v>
      </c>
      <c r="J77" s="203"/>
      <c r="K77" s="216"/>
      <c r="L77" s="203"/>
      <c r="M77" s="217"/>
      <c r="N77" s="14"/>
      <c r="O77" s="33"/>
      <c r="P77" s="120"/>
      <c r="Q77" s="7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s="11" customFormat="1" ht="10.199999999999999">
      <c r="A78" s="214" t="s">
        <v>110</v>
      </c>
      <c r="B78" s="234">
        <v>0</v>
      </c>
      <c r="C78" s="244"/>
      <c r="D78" s="234">
        <v>0</v>
      </c>
      <c r="E78" s="234">
        <v>0</v>
      </c>
      <c r="F78" s="244"/>
      <c r="G78" s="234">
        <v>0</v>
      </c>
      <c r="H78" s="244"/>
      <c r="I78" s="234">
        <v>0</v>
      </c>
      <c r="J78" s="203"/>
      <c r="K78" s="216"/>
      <c r="L78" s="203"/>
      <c r="M78" s="217"/>
      <c r="N78" s="14"/>
      <c r="O78" s="33"/>
      <c r="P78" s="120"/>
      <c r="Q78" s="77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s="11" customFormat="1" ht="10.199999999999999">
      <c r="A79" s="214" t="s">
        <v>111</v>
      </c>
      <c r="B79" s="234">
        <v>0</v>
      </c>
      <c r="C79" s="244">
        <f t="shared" si="7"/>
        <v>-1</v>
      </c>
      <c r="D79" s="234">
        <v>0.01</v>
      </c>
      <c r="E79" s="234">
        <v>0</v>
      </c>
      <c r="F79" s="244"/>
      <c r="G79" s="234">
        <v>0</v>
      </c>
      <c r="H79" s="244"/>
      <c r="I79" s="234">
        <v>0</v>
      </c>
      <c r="J79" s="203"/>
      <c r="K79" s="216"/>
      <c r="L79" s="203"/>
      <c r="M79" s="217"/>
      <c r="N79" s="14"/>
      <c r="O79" s="33"/>
      <c r="P79" s="120"/>
      <c r="Q79" s="77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s="11" customFormat="1" ht="10.199999999999999">
      <c r="A80" s="214" t="s">
        <v>112</v>
      </c>
      <c r="B80" s="234">
        <v>0.01</v>
      </c>
      <c r="C80" s="244">
        <f t="shared" si="7"/>
        <v>-0.9285714285714286</v>
      </c>
      <c r="D80" s="234">
        <v>0.14000000000000001</v>
      </c>
      <c r="E80" s="234">
        <v>0.08</v>
      </c>
      <c r="F80" s="244">
        <f t="shared" si="8"/>
        <v>-0.38461538461538458</v>
      </c>
      <c r="G80" s="234">
        <v>0.13</v>
      </c>
      <c r="H80" s="244">
        <f t="shared" si="8"/>
        <v>0.30000000000000004</v>
      </c>
      <c r="I80" s="234">
        <v>0.1</v>
      </c>
      <c r="J80" s="203"/>
      <c r="K80" s="216"/>
      <c r="L80" s="203"/>
      <c r="M80" s="217"/>
      <c r="N80" s="14"/>
      <c r="O80" s="33"/>
      <c r="P80" s="120"/>
      <c r="Q80" s="77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s="11" customFormat="1" ht="10.199999999999999">
      <c r="A81" s="214" t="s">
        <v>113</v>
      </c>
      <c r="B81" s="234">
        <v>0.02</v>
      </c>
      <c r="C81" s="244">
        <f t="shared" si="7"/>
        <v>-0.7142857142857143</v>
      </c>
      <c r="D81" s="234">
        <v>7.0000000000000007E-2</v>
      </c>
      <c r="E81" s="234">
        <v>0.02</v>
      </c>
      <c r="F81" s="244">
        <f t="shared" si="8"/>
        <v>1</v>
      </c>
      <c r="G81" s="234">
        <v>0.01</v>
      </c>
      <c r="H81" s="244">
        <f t="shared" si="8"/>
        <v>0</v>
      </c>
      <c r="I81" s="234">
        <v>0.01</v>
      </c>
      <c r="J81" s="203"/>
      <c r="K81" s="216"/>
      <c r="L81" s="203"/>
      <c r="M81" s="217"/>
      <c r="N81" s="14"/>
      <c r="O81" s="33"/>
      <c r="P81" s="120"/>
      <c r="Q81" s="77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s="11" customFormat="1" ht="10.199999999999999">
      <c r="A82" s="214" t="s">
        <v>114</v>
      </c>
      <c r="B82" s="234">
        <v>0</v>
      </c>
      <c r="C82" s="244"/>
      <c r="D82" s="234">
        <v>0</v>
      </c>
      <c r="E82" s="234">
        <v>0</v>
      </c>
      <c r="F82" s="244">
        <f t="shared" si="8"/>
        <v>-1</v>
      </c>
      <c r="G82" s="234">
        <v>0.01</v>
      </c>
      <c r="H82" s="244"/>
      <c r="I82" s="234">
        <v>0</v>
      </c>
      <c r="J82" s="203"/>
      <c r="K82" s="216"/>
      <c r="L82" s="203"/>
      <c r="M82" s="217"/>
      <c r="N82" s="14"/>
      <c r="O82" s="33"/>
      <c r="P82" s="120"/>
      <c r="Q82" s="77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s="11" customFormat="1" ht="10.199999999999999">
      <c r="A83" s="214" t="s">
        <v>115</v>
      </c>
      <c r="B83" s="234">
        <v>0</v>
      </c>
      <c r="C83" s="244"/>
      <c r="D83" s="234">
        <v>0</v>
      </c>
      <c r="E83" s="234">
        <v>0</v>
      </c>
      <c r="F83" s="244"/>
      <c r="G83" s="234">
        <v>0</v>
      </c>
      <c r="H83" s="244"/>
      <c r="I83" s="234">
        <v>0</v>
      </c>
      <c r="J83" s="203"/>
      <c r="K83" s="216"/>
      <c r="L83" s="203"/>
      <c r="M83" s="217"/>
      <c r="N83" s="14"/>
      <c r="O83" s="33"/>
      <c r="P83" s="120"/>
      <c r="Q83" s="77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s="11" customFormat="1" ht="10.199999999999999">
      <c r="A84" s="214" t="s">
        <v>116</v>
      </c>
      <c r="B84" s="234">
        <v>0</v>
      </c>
      <c r="C84" s="244"/>
      <c r="D84" s="234">
        <v>0</v>
      </c>
      <c r="E84" s="234">
        <v>0</v>
      </c>
      <c r="F84" s="244"/>
      <c r="G84" s="234">
        <v>0</v>
      </c>
      <c r="H84" s="244"/>
      <c r="I84" s="234">
        <v>0</v>
      </c>
      <c r="J84" s="203"/>
      <c r="K84" s="216"/>
      <c r="L84" s="203"/>
      <c r="M84" s="217"/>
      <c r="N84" s="14"/>
      <c r="O84" s="33"/>
      <c r="P84" s="120"/>
      <c r="Q84" s="77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s="11" customFormat="1" ht="10.199999999999999">
      <c r="A85" s="214" t="s">
        <v>117</v>
      </c>
      <c r="B85" s="234">
        <v>0</v>
      </c>
      <c r="C85" s="244"/>
      <c r="D85" s="234">
        <v>0</v>
      </c>
      <c r="E85" s="234">
        <v>0</v>
      </c>
      <c r="F85" s="244"/>
      <c r="G85" s="234">
        <v>0</v>
      </c>
      <c r="H85" s="244"/>
      <c r="I85" s="234">
        <v>0</v>
      </c>
      <c r="J85" s="203"/>
      <c r="K85" s="216"/>
      <c r="L85" s="203"/>
      <c r="M85" s="217"/>
      <c r="N85" s="14"/>
      <c r="O85" s="33"/>
      <c r="P85" s="120"/>
      <c r="Q85" s="77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s="11" customFormat="1" ht="10.199999999999999">
      <c r="A86" s="214" t="s">
        <v>118</v>
      </c>
      <c r="B86" s="234">
        <v>0.12</v>
      </c>
      <c r="C86" s="244"/>
      <c r="D86" s="234">
        <v>0</v>
      </c>
      <c r="E86" s="234">
        <v>0.14000000000000001</v>
      </c>
      <c r="F86" s="244"/>
      <c r="G86" s="234">
        <v>0</v>
      </c>
      <c r="H86" s="244">
        <f t="shared" si="8"/>
        <v>-1</v>
      </c>
      <c r="I86" s="234">
        <v>0.26</v>
      </c>
      <c r="J86" s="203"/>
      <c r="K86" s="216"/>
      <c r="L86" s="203"/>
      <c r="M86" s="217"/>
      <c r="N86" s="14"/>
      <c r="O86" s="33"/>
      <c r="P86" s="120"/>
      <c r="Q86" s="77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s="11" customFormat="1" ht="10.199999999999999">
      <c r="A87" s="214" t="s">
        <v>119</v>
      </c>
      <c r="B87" s="235">
        <v>0</v>
      </c>
      <c r="C87" s="244"/>
      <c r="D87" s="235">
        <v>0</v>
      </c>
      <c r="E87" s="235">
        <v>0</v>
      </c>
      <c r="F87" s="244"/>
      <c r="G87" s="235">
        <v>0</v>
      </c>
      <c r="H87" s="244"/>
      <c r="I87" s="235">
        <v>0</v>
      </c>
      <c r="J87" s="203"/>
      <c r="K87" s="219"/>
      <c r="L87" s="203"/>
      <c r="M87" s="220"/>
      <c r="N87" s="14"/>
      <c r="O87" s="33"/>
      <c r="P87" s="120"/>
      <c r="Q87" s="77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s="11" customFormat="1" ht="10.199999999999999">
      <c r="A88" s="214" t="s">
        <v>120</v>
      </c>
      <c r="B88" s="234">
        <v>0</v>
      </c>
      <c r="C88" s="244">
        <f t="shared" si="7"/>
        <v>-1</v>
      </c>
      <c r="D88" s="234">
        <v>0.22</v>
      </c>
      <c r="E88" s="234">
        <v>0.01</v>
      </c>
      <c r="F88" s="244">
        <f t="shared" si="8"/>
        <v>-0.95454545454545459</v>
      </c>
      <c r="G88" s="234">
        <v>0.22</v>
      </c>
      <c r="H88" s="244">
        <f t="shared" si="8"/>
        <v>0.69230769230769229</v>
      </c>
      <c r="I88" s="234">
        <v>0.13</v>
      </c>
      <c r="J88" s="203"/>
      <c r="K88" s="216"/>
      <c r="L88" s="203"/>
      <c r="M88" s="217"/>
      <c r="N88" s="14"/>
      <c r="O88" s="33"/>
      <c r="P88" s="120"/>
      <c r="Q88" s="77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s="3" customFormat="1" ht="10.199999999999999">
      <c r="A89" s="214" t="s">
        <v>121</v>
      </c>
      <c r="B89" s="234">
        <v>0</v>
      </c>
      <c r="C89" s="244"/>
      <c r="D89" s="234">
        <v>0</v>
      </c>
      <c r="E89" s="234">
        <v>0</v>
      </c>
      <c r="F89" s="244"/>
      <c r="G89" s="234">
        <v>0</v>
      </c>
      <c r="H89" s="244"/>
      <c r="I89" s="234">
        <v>0</v>
      </c>
      <c r="J89" s="203"/>
      <c r="K89" s="216"/>
      <c r="L89" s="203"/>
      <c r="M89" s="217"/>
      <c r="N89" s="14"/>
      <c r="O89" s="33"/>
      <c r="P89" s="120"/>
      <c r="Q89" s="7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s="11" customFormat="1" ht="10.199999999999999">
      <c r="A90" s="214" t="s">
        <v>122</v>
      </c>
      <c r="B90" s="234">
        <v>0</v>
      </c>
      <c r="C90" s="244"/>
      <c r="D90" s="234">
        <v>0</v>
      </c>
      <c r="E90" s="234">
        <v>0</v>
      </c>
      <c r="F90" s="244"/>
      <c r="G90" s="234">
        <v>0</v>
      </c>
      <c r="H90" s="244"/>
      <c r="I90" s="234">
        <v>0</v>
      </c>
      <c r="J90" s="203"/>
      <c r="K90" s="216"/>
      <c r="L90" s="203"/>
      <c r="M90" s="217"/>
      <c r="N90" s="14"/>
      <c r="O90" s="33"/>
      <c r="P90" s="120"/>
      <c r="Q90" s="77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s="11" customFormat="1" ht="10.199999999999999">
      <c r="A91" s="214" t="s">
        <v>123</v>
      </c>
      <c r="B91" s="234">
        <v>0</v>
      </c>
      <c r="C91" s="244"/>
      <c r="D91" s="234">
        <v>0</v>
      </c>
      <c r="E91" s="234">
        <v>0</v>
      </c>
      <c r="F91" s="244"/>
      <c r="G91" s="234">
        <v>0</v>
      </c>
      <c r="H91" s="244"/>
      <c r="I91" s="234">
        <v>0</v>
      </c>
      <c r="J91" s="203"/>
      <c r="K91" s="216"/>
      <c r="L91" s="203"/>
      <c r="M91" s="217"/>
      <c r="N91" s="14"/>
      <c r="O91" s="33"/>
      <c r="P91" s="120"/>
      <c r="Q91" s="77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s="11" customFormat="1" ht="10.199999999999999">
      <c r="A92" s="214" t="s">
        <v>124</v>
      </c>
      <c r="B92" s="234">
        <v>0.39</v>
      </c>
      <c r="C92" s="244"/>
      <c r="D92" s="234">
        <v>0</v>
      </c>
      <c r="E92" s="234">
        <v>0.41</v>
      </c>
      <c r="F92" s="244"/>
      <c r="G92" s="234">
        <v>0</v>
      </c>
      <c r="H92" s="244"/>
      <c r="I92" s="234">
        <v>0</v>
      </c>
      <c r="J92" s="203"/>
      <c r="K92" s="216"/>
      <c r="L92" s="203"/>
      <c r="M92" s="217"/>
      <c r="N92" s="14"/>
      <c r="O92" s="33"/>
      <c r="P92" s="120"/>
      <c r="Q92" s="77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s="11" customFormat="1" ht="10.199999999999999">
      <c r="A93" s="214" t="s">
        <v>125</v>
      </c>
      <c r="B93" s="234">
        <v>0.01</v>
      </c>
      <c r="C93" s="244"/>
      <c r="D93" s="234">
        <v>0</v>
      </c>
      <c r="E93" s="234">
        <v>0.08</v>
      </c>
      <c r="F93" s="244"/>
      <c r="G93" s="234">
        <v>0</v>
      </c>
      <c r="H93" s="244">
        <f t="shared" si="8"/>
        <v>-1</v>
      </c>
      <c r="I93" s="234">
        <v>0.05</v>
      </c>
      <c r="J93" s="221"/>
      <c r="K93" s="216"/>
      <c r="L93" s="221"/>
      <c r="M93" s="217"/>
      <c r="N93" s="37"/>
      <c r="O93" s="38"/>
      <c r="P93" s="125"/>
      <c r="Q93" s="77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s="11" customFormat="1" ht="10.199999999999999">
      <c r="A94" s="214" t="s">
        <v>126</v>
      </c>
      <c r="B94" s="236">
        <v>0</v>
      </c>
      <c r="C94" s="244"/>
      <c r="D94" s="236">
        <v>0</v>
      </c>
      <c r="E94" s="236">
        <v>0</v>
      </c>
      <c r="F94" s="244"/>
      <c r="G94" s="236">
        <v>0</v>
      </c>
      <c r="H94" s="244"/>
      <c r="I94" s="236">
        <v>0</v>
      </c>
      <c r="J94" s="203"/>
      <c r="K94" s="223"/>
      <c r="L94" s="203"/>
      <c r="M94" s="222"/>
      <c r="N94" s="13"/>
      <c r="O94" s="33"/>
      <c r="P94" s="13"/>
      <c r="Q94" s="33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s="11" customFormat="1" ht="10.199999999999999">
      <c r="A95" s="214" t="s">
        <v>127</v>
      </c>
      <c r="B95" s="236">
        <v>0.08</v>
      </c>
      <c r="C95" s="244"/>
      <c r="D95" s="236">
        <v>0</v>
      </c>
      <c r="E95" s="236">
        <v>0</v>
      </c>
      <c r="F95" s="244"/>
      <c r="G95" s="236">
        <v>0</v>
      </c>
      <c r="H95" s="244">
        <f t="shared" si="8"/>
        <v>-1</v>
      </c>
      <c r="I95" s="236">
        <v>0.04</v>
      </c>
      <c r="J95" s="203"/>
      <c r="K95" s="223"/>
      <c r="L95" s="203"/>
      <c r="M95" s="222"/>
      <c r="N95" s="13"/>
      <c r="O95" s="33"/>
      <c r="P95" s="13"/>
      <c r="Q95" s="33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s="11" customFormat="1" ht="10.199999999999999">
      <c r="A96" s="220" t="s">
        <v>106</v>
      </c>
      <c r="B96" s="237">
        <f>B74</f>
        <v>3.65</v>
      </c>
      <c r="C96" s="244">
        <f t="shared" si="7"/>
        <v>-0.63205645161290325</v>
      </c>
      <c r="D96" s="237">
        <f>D74</f>
        <v>9.92</v>
      </c>
      <c r="E96" s="237">
        <f>E74</f>
        <v>4.9800000000000004</v>
      </c>
      <c r="F96" s="244">
        <f t="shared" si="8"/>
        <v>-0.1324041811846689</v>
      </c>
      <c r="G96" s="237">
        <f>G74</f>
        <v>5.74</v>
      </c>
      <c r="H96" s="244">
        <f t="shared" si="8"/>
        <v>-0.28960396039603964</v>
      </c>
      <c r="I96" s="237">
        <f>I74</f>
        <v>8.08</v>
      </c>
      <c r="J96" s="203"/>
      <c r="K96" s="225"/>
      <c r="L96" s="203"/>
      <c r="M96" s="222"/>
      <c r="N96" s="14"/>
      <c r="O96" s="33"/>
      <c r="P96" s="120"/>
      <c r="Q96" s="33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s="11" customFormat="1" ht="10.199999999999999">
      <c r="A97" s="220" t="s">
        <v>107</v>
      </c>
      <c r="B97" s="237">
        <f>B75</f>
        <v>7.0000000000000007E-2</v>
      </c>
      <c r="C97" s="244">
        <f t="shared" si="7"/>
        <v>-0.87037037037037035</v>
      </c>
      <c r="D97" s="237">
        <f>D75</f>
        <v>0.54</v>
      </c>
      <c r="E97" s="237">
        <f>E75</f>
        <v>0.14000000000000001</v>
      </c>
      <c r="F97" s="244">
        <f t="shared" si="8"/>
        <v>-0.77777777777777779</v>
      </c>
      <c r="G97" s="237">
        <f>G75</f>
        <v>0.63</v>
      </c>
      <c r="H97" s="244">
        <f t="shared" si="8"/>
        <v>-0.50393700787401574</v>
      </c>
      <c r="I97" s="237">
        <f>I75</f>
        <v>1.27</v>
      </c>
      <c r="J97" s="203"/>
      <c r="K97" s="225"/>
      <c r="L97" s="203"/>
      <c r="M97" s="222"/>
      <c r="N97" s="14"/>
      <c r="O97" s="33"/>
      <c r="P97" s="120"/>
      <c r="Q97" s="33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s="3" customFormat="1" ht="10.199999999999999">
      <c r="A98" s="220" t="s">
        <v>128</v>
      </c>
      <c r="B98" s="235">
        <f>B76+B77+B78+B79+B80+B81+B82+B83+B84+B85</f>
        <v>0.06</v>
      </c>
      <c r="C98" s="244">
        <f t="shared" si="7"/>
        <v>-0.94339622641509435</v>
      </c>
      <c r="D98" s="235">
        <f>D76+D77+D78+D79+D80+D81+D82+D83+D84+D85</f>
        <v>1.06</v>
      </c>
      <c r="E98" s="235">
        <f>E76+E77+E78+E79+E80+E81+E82+E83+E84+E85</f>
        <v>0.69000000000000006</v>
      </c>
      <c r="F98" s="244">
        <f t="shared" si="8"/>
        <v>-0.27368421052631575</v>
      </c>
      <c r="G98" s="235">
        <f>G76+G77+G78+G79+G80+G81+G82+G83+G84+G85</f>
        <v>0.95000000000000007</v>
      </c>
      <c r="H98" s="244">
        <f t="shared" si="8"/>
        <v>0.14457831325301229</v>
      </c>
      <c r="I98" s="235">
        <f>I76+I77+I78+I79+I80+I81+I82+I83+I84+I85</f>
        <v>0.83</v>
      </c>
      <c r="J98" s="203"/>
      <c r="K98" s="219"/>
      <c r="L98" s="203"/>
      <c r="M98" s="226"/>
      <c r="N98" s="14"/>
      <c r="O98" s="21"/>
      <c r="P98" s="120"/>
      <c r="Q98" s="2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s="3" customFormat="1" ht="10.199999999999999">
      <c r="A99" s="220" t="s">
        <v>129</v>
      </c>
      <c r="B99" s="235">
        <f>B86+B87+B88+B89+B90+B91</f>
        <v>0.12</v>
      </c>
      <c r="C99" s="244">
        <f t="shared" si="7"/>
        <v>-0.45454545454545459</v>
      </c>
      <c r="D99" s="235">
        <f>D86+D87+D88+D89+D90+D91</f>
        <v>0.22</v>
      </c>
      <c r="E99" s="235">
        <f>E86+E87+E88+E89+E90+E91</f>
        <v>0.15000000000000002</v>
      </c>
      <c r="F99" s="273">
        <f t="shared" si="8"/>
        <v>-0.31818181818181812</v>
      </c>
      <c r="G99" s="272">
        <f>G86+G87+G88+G89+G90+G91</f>
        <v>0.22</v>
      </c>
      <c r="H99" s="273">
        <f t="shared" si="8"/>
        <v>-0.4358974358974359</v>
      </c>
      <c r="I99" s="272">
        <f>I86+I87+I88+I89+I90+I91</f>
        <v>0.39</v>
      </c>
      <c r="J99" s="203"/>
      <c r="K99" s="219"/>
      <c r="L99" s="203"/>
      <c r="M99" s="226"/>
      <c r="N99" s="14"/>
      <c r="O99" s="21"/>
      <c r="P99" s="120"/>
      <c r="Q99" s="2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s="11" customFormat="1" ht="10.199999999999999">
      <c r="A100" s="220" t="s">
        <v>130</v>
      </c>
      <c r="B100" s="235">
        <f>B92+B93+B94+B95</f>
        <v>0.48000000000000004</v>
      </c>
      <c r="C100" s="244"/>
      <c r="D100" s="235">
        <f>D92+D93+D94+D95</f>
        <v>0</v>
      </c>
      <c r="E100" s="235">
        <f>E92+E93+E94+E95</f>
        <v>0.49</v>
      </c>
      <c r="F100" s="273"/>
      <c r="G100" s="272">
        <f>G92+G93+G94+G95</f>
        <v>0</v>
      </c>
      <c r="H100" s="273">
        <f t="shared" si="8"/>
        <v>-1</v>
      </c>
      <c r="I100" s="272">
        <f>I92+I93+I94+I95</f>
        <v>0.09</v>
      </c>
      <c r="J100" s="203"/>
      <c r="K100" s="219"/>
      <c r="L100" s="203"/>
      <c r="M100" s="226"/>
      <c r="N100" s="14"/>
      <c r="O100" s="21"/>
      <c r="P100" s="120"/>
      <c r="Q100" s="21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s="109" customFormat="1" ht="10.199999999999999" customHeight="1">
      <c r="A101" s="193" t="s">
        <v>135</v>
      </c>
      <c r="B101" s="194">
        <f>SUM(B96:B100)</f>
        <v>4.38</v>
      </c>
      <c r="C101" s="274">
        <f t="shared" si="7"/>
        <v>-0.62691652470187398</v>
      </c>
      <c r="D101" s="194">
        <f>SUM(D96:D100)</f>
        <v>11.740000000000002</v>
      </c>
      <c r="E101" s="194">
        <f>SUM(E96:E100)</f>
        <v>6.4500000000000011</v>
      </c>
      <c r="F101" s="274">
        <f t="shared" si="8"/>
        <v>-0.14456233421750653</v>
      </c>
      <c r="G101" s="194">
        <f>SUM(G96:G100)</f>
        <v>7.54</v>
      </c>
      <c r="H101" s="274">
        <f t="shared" si="8"/>
        <v>-0.29268292682926833</v>
      </c>
      <c r="I101" s="194">
        <f>SUM(I96:I100)</f>
        <v>10.66</v>
      </c>
      <c r="J101" s="195">
        <f>(I101-K101)/K101</f>
        <v>-8.8109495295124129E-2</v>
      </c>
      <c r="K101" s="194">
        <v>11.690000000000001</v>
      </c>
      <c r="L101" s="195">
        <v>-0.10967250571210951</v>
      </c>
      <c r="M101" s="194">
        <v>13.129999999999999</v>
      </c>
    </row>
    <row r="102" spans="1:28" ht="12" customHeight="1">
      <c r="C102" s="211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  <vt:lpstr>Prozentrundung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Marianne Gruber</cp:lastModifiedBy>
  <cp:lastPrinted>2016-05-30T11:49:38Z</cp:lastPrinted>
  <dcterms:created xsi:type="dcterms:W3CDTF">2015-02-10T08:20:45Z</dcterms:created>
  <dcterms:modified xsi:type="dcterms:W3CDTF">2016-05-30T12:08:44Z</dcterms:modified>
</cp:coreProperties>
</file>