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24" yWindow="-12" windowWidth="7212" windowHeight="8760"/>
  </bookViews>
  <sheets>
    <sheet name="Group" sheetId="1" r:id="rId1"/>
    <sheet name="North + West" sheetId="2" r:id="rId2"/>
    <sheet name="South + East" sheetId="4" r:id="rId3"/>
    <sheet name="International + Special Divisio" sheetId="3" r:id="rId4"/>
    <sheet name="Other" sheetId="5" r:id="rId5"/>
  </sheets>
  <definedNames>
    <definedName name="_xlnm.Print_Area" localSheetId="0">Group!$A$1:$N$215</definedName>
    <definedName name="_xlnm.Print_Area" localSheetId="3">'International + Special Divisio'!$A$1:$N$101</definedName>
    <definedName name="_xlnm.Print_Area" localSheetId="1">'North + West'!$A$1:$N$101</definedName>
    <definedName name="_xlnm.Print_Area" localSheetId="4">Other!$A$1:$N$101</definedName>
    <definedName name="_xlnm.Print_Area" localSheetId="2">'South + East'!$A$1:$N$101</definedName>
    <definedName name="_xlnm.Print_Titles" localSheetId="0">Group!$1:$1</definedName>
    <definedName name="_xlnm.Print_Titles" localSheetId="3">'International + Special Divisio'!$1:$1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</definedNames>
  <calcPr calcId="145621"/>
</workbook>
</file>

<file path=xl/calcChain.xml><?xml version="1.0" encoding="utf-8"?>
<calcChain xmlns="http://schemas.openxmlformats.org/spreadsheetml/2006/main">
  <c r="E85" i="1" l="1"/>
  <c r="E69" i="1"/>
  <c r="E65" i="1" s="1"/>
  <c r="E63" i="1"/>
  <c r="E59" i="1"/>
  <c r="E54" i="1"/>
  <c r="E52" i="1"/>
  <c r="E13" i="1"/>
  <c r="E48" i="1" l="1"/>
  <c r="E46" i="1" l="1"/>
  <c r="G17" i="1"/>
  <c r="G16" i="1"/>
  <c r="E17" i="1"/>
  <c r="E16" i="1"/>
  <c r="D16" i="1"/>
  <c r="B16" i="1"/>
  <c r="D9" i="2" l="1"/>
  <c r="B9" i="2"/>
  <c r="F29" i="4" l="1"/>
  <c r="F80" i="5" l="1"/>
  <c r="F81" i="5"/>
  <c r="F86" i="5"/>
  <c r="F88" i="5"/>
  <c r="F91" i="5"/>
  <c r="F61" i="5"/>
  <c r="F63" i="5"/>
  <c r="F65" i="5"/>
  <c r="F30" i="5"/>
  <c r="F31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E8" i="2"/>
  <c r="G8" i="2"/>
  <c r="D8" i="2"/>
  <c r="B8" i="2"/>
  <c r="B8" i="4"/>
  <c r="B8" i="3"/>
  <c r="F77" i="4"/>
  <c r="F78" i="4"/>
  <c r="F79" i="4"/>
  <c r="F80" i="4"/>
  <c r="F81" i="4"/>
  <c r="F82" i="4"/>
  <c r="F83" i="4"/>
  <c r="F84" i="4"/>
  <c r="F85" i="4"/>
  <c r="F86" i="4"/>
  <c r="F77" i="3"/>
  <c r="F78" i="3"/>
  <c r="F79" i="3"/>
  <c r="F80" i="3"/>
  <c r="F81" i="3"/>
  <c r="F82" i="3"/>
  <c r="F83" i="3"/>
  <c r="F85" i="3"/>
  <c r="F86" i="3"/>
  <c r="F79" i="2"/>
  <c r="F81" i="2"/>
  <c r="F86" i="2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48" i="2"/>
  <c r="F49" i="2"/>
  <c r="F51" i="2"/>
  <c r="F56" i="2"/>
  <c r="F57" i="2"/>
  <c r="F58" i="2"/>
  <c r="F59" i="2"/>
  <c r="F16" i="4"/>
  <c r="F17" i="4"/>
  <c r="F18" i="4"/>
  <c r="F19" i="4"/>
  <c r="F20" i="4"/>
  <c r="F21" i="4"/>
  <c r="F22" i="4"/>
  <c r="F23" i="4"/>
  <c r="F24" i="4"/>
  <c r="F25" i="4"/>
  <c r="F16" i="3"/>
  <c r="F17" i="3"/>
  <c r="F18" i="3"/>
  <c r="F19" i="3"/>
  <c r="F20" i="3"/>
  <c r="F21" i="3"/>
  <c r="F22" i="3"/>
  <c r="F23" i="3"/>
  <c r="F24" i="3"/>
  <c r="F25" i="3"/>
  <c r="F17" i="2"/>
  <c r="F18" i="2"/>
  <c r="F20" i="2"/>
  <c r="F25" i="2"/>
  <c r="G100" i="4"/>
  <c r="E100" i="4"/>
  <c r="G99" i="4"/>
  <c r="E99" i="4"/>
  <c r="G98" i="4"/>
  <c r="E98" i="4"/>
  <c r="G97" i="4"/>
  <c r="E97" i="4"/>
  <c r="F97" i="4" s="1"/>
  <c r="G96" i="4"/>
  <c r="E96" i="4"/>
  <c r="F95" i="4"/>
  <c r="F94" i="4"/>
  <c r="F93" i="4"/>
  <c r="F92" i="4"/>
  <c r="F91" i="4"/>
  <c r="F90" i="4"/>
  <c r="F89" i="4"/>
  <c r="F88" i="4"/>
  <c r="F87" i="4"/>
  <c r="F76" i="4"/>
  <c r="F75" i="4"/>
  <c r="F74" i="4"/>
  <c r="G70" i="4"/>
  <c r="E70" i="4"/>
  <c r="G69" i="4"/>
  <c r="E69" i="4"/>
  <c r="G68" i="4"/>
  <c r="E68" i="4"/>
  <c r="G67" i="4"/>
  <c r="E67" i="4"/>
  <c r="G66" i="4"/>
  <c r="E66" i="4"/>
  <c r="F65" i="4"/>
  <c r="F64" i="4"/>
  <c r="F63" i="4"/>
  <c r="F62" i="4"/>
  <c r="F61" i="4"/>
  <c r="F60" i="4"/>
  <c r="F46" i="4"/>
  <c r="F45" i="4"/>
  <c r="F44" i="4"/>
  <c r="G39" i="4"/>
  <c r="E39" i="4"/>
  <c r="G38" i="4"/>
  <c r="E38" i="4"/>
  <c r="G37" i="4"/>
  <c r="E37" i="4"/>
  <c r="G36" i="4"/>
  <c r="E36" i="4"/>
  <c r="G35" i="4"/>
  <c r="E35" i="4"/>
  <c r="F34" i="4"/>
  <c r="F33" i="4"/>
  <c r="F32" i="4"/>
  <c r="F31" i="4"/>
  <c r="F30" i="4"/>
  <c r="F28" i="4"/>
  <c r="F27" i="4"/>
  <c r="F26" i="4"/>
  <c r="F15" i="4"/>
  <c r="F14" i="4"/>
  <c r="F13" i="4"/>
  <c r="G8" i="4"/>
  <c r="E8" i="4"/>
  <c r="F7" i="4"/>
  <c r="F6" i="4"/>
  <c r="F5" i="4"/>
  <c r="G100" i="3"/>
  <c r="E100" i="3"/>
  <c r="G99" i="3"/>
  <c r="E99" i="3"/>
  <c r="F99" i="3" s="1"/>
  <c r="G98" i="3"/>
  <c r="E98" i="3"/>
  <c r="G97" i="3"/>
  <c r="E97" i="3"/>
  <c r="G96" i="3"/>
  <c r="E96" i="3"/>
  <c r="F95" i="3"/>
  <c r="F94" i="3"/>
  <c r="F93" i="3"/>
  <c r="F92" i="3"/>
  <c r="F91" i="3"/>
  <c r="F90" i="3"/>
  <c r="F89" i="3"/>
  <c r="F88" i="3"/>
  <c r="F87" i="3"/>
  <c r="F76" i="3"/>
  <c r="F75" i="3"/>
  <c r="F74" i="3"/>
  <c r="G70" i="3"/>
  <c r="E70" i="3"/>
  <c r="G69" i="3"/>
  <c r="E69" i="3"/>
  <c r="F69" i="3" s="1"/>
  <c r="G68" i="3"/>
  <c r="E68" i="3"/>
  <c r="G67" i="3"/>
  <c r="E67" i="3"/>
  <c r="F67" i="3" s="1"/>
  <c r="G66" i="3"/>
  <c r="E66" i="3"/>
  <c r="F65" i="3"/>
  <c r="F64" i="3"/>
  <c r="F63" i="3"/>
  <c r="F62" i="3"/>
  <c r="F61" i="3"/>
  <c r="F46" i="3"/>
  <c r="F45" i="3"/>
  <c r="F44" i="3"/>
  <c r="G39" i="3"/>
  <c r="E39" i="3"/>
  <c r="F39" i="3" s="1"/>
  <c r="G38" i="3"/>
  <c r="E38" i="3"/>
  <c r="G37" i="3"/>
  <c r="E37" i="3"/>
  <c r="F37" i="3" s="1"/>
  <c r="G36" i="3"/>
  <c r="E36" i="3"/>
  <c r="G35" i="3"/>
  <c r="E35" i="3"/>
  <c r="F35" i="3" s="1"/>
  <c r="F34" i="3"/>
  <c r="F33" i="3"/>
  <c r="F32" i="3"/>
  <c r="F31" i="3"/>
  <c r="F30" i="3"/>
  <c r="F28" i="3"/>
  <c r="F27" i="3"/>
  <c r="F26" i="3"/>
  <c r="F15" i="3"/>
  <c r="F14" i="3"/>
  <c r="F13" i="3"/>
  <c r="G8" i="3"/>
  <c r="E8" i="3"/>
  <c r="F7" i="3"/>
  <c r="F6" i="3"/>
  <c r="F5" i="3"/>
  <c r="G100" i="5"/>
  <c r="E100" i="5"/>
  <c r="G99" i="5"/>
  <c r="E99" i="5"/>
  <c r="G98" i="5"/>
  <c r="E98" i="5"/>
  <c r="G97" i="5"/>
  <c r="E97" i="5"/>
  <c r="G96" i="5"/>
  <c r="E96" i="5"/>
  <c r="F95" i="5"/>
  <c r="F77" i="5"/>
  <c r="F76" i="5"/>
  <c r="F75" i="5"/>
  <c r="F74" i="5"/>
  <c r="G70" i="5"/>
  <c r="E70" i="5"/>
  <c r="G69" i="5"/>
  <c r="E69" i="5"/>
  <c r="G68" i="5"/>
  <c r="E68" i="5"/>
  <c r="G67" i="5"/>
  <c r="E67" i="5"/>
  <c r="G66" i="5"/>
  <c r="E66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G39" i="5"/>
  <c r="E39" i="5"/>
  <c r="G38" i="5"/>
  <c r="E38" i="5"/>
  <c r="F38" i="5" s="1"/>
  <c r="G37" i="5"/>
  <c r="E37" i="5"/>
  <c r="G36" i="5"/>
  <c r="E36" i="5"/>
  <c r="G35" i="5"/>
  <c r="E35" i="5"/>
  <c r="F9" i="5"/>
  <c r="G8" i="5"/>
  <c r="E8" i="5"/>
  <c r="F7" i="5"/>
  <c r="F6" i="5"/>
  <c r="F5" i="5"/>
  <c r="G100" i="2"/>
  <c r="E100" i="2"/>
  <c r="G99" i="2"/>
  <c r="E99" i="2"/>
  <c r="G98" i="2"/>
  <c r="E98" i="2"/>
  <c r="G97" i="2"/>
  <c r="E97" i="2"/>
  <c r="G96" i="2"/>
  <c r="E96" i="2"/>
  <c r="F95" i="2"/>
  <c r="F94" i="2"/>
  <c r="F93" i="2"/>
  <c r="F92" i="2"/>
  <c r="F91" i="2"/>
  <c r="F90" i="2"/>
  <c r="F89" i="2"/>
  <c r="F88" i="2"/>
  <c r="F87" i="2"/>
  <c r="F76" i="2"/>
  <c r="F75" i="2"/>
  <c r="F74" i="2"/>
  <c r="G70" i="2"/>
  <c r="E70" i="2"/>
  <c r="G69" i="2"/>
  <c r="E69" i="2"/>
  <c r="G68" i="2"/>
  <c r="E68" i="2"/>
  <c r="G67" i="2"/>
  <c r="E67" i="2"/>
  <c r="G66" i="2"/>
  <c r="E66" i="2"/>
  <c r="F65" i="2"/>
  <c r="F64" i="2"/>
  <c r="F63" i="2"/>
  <c r="F62" i="2"/>
  <c r="F61" i="2"/>
  <c r="F60" i="2"/>
  <c r="F46" i="2"/>
  <c r="F45" i="2"/>
  <c r="F44" i="2"/>
  <c r="G39" i="2"/>
  <c r="E39" i="2"/>
  <c r="G38" i="2"/>
  <c r="E38" i="2"/>
  <c r="G37" i="2"/>
  <c r="E37" i="2"/>
  <c r="G36" i="2"/>
  <c r="E36" i="2"/>
  <c r="G35" i="2"/>
  <c r="E35" i="2"/>
  <c r="F34" i="2"/>
  <c r="F33" i="2"/>
  <c r="F32" i="2"/>
  <c r="F31" i="2"/>
  <c r="F30" i="2"/>
  <c r="F29" i="2"/>
  <c r="F28" i="2"/>
  <c r="F27" i="2"/>
  <c r="F26" i="2"/>
  <c r="F15" i="2"/>
  <c r="F14" i="2"/>
  <c r="F13" i="2"/>
  <c r="F7" i="2"/>
  <c r="F6" i="2"/>
  <c r="F5" i="2"/>
  <c r="F16" i="1"/>
  <c r="G112" i="1"/>
  <c r="E112" i="1"/>
  <c r="F107" i="1"/>
  <c r="G214" i="1"/>
  <c r="E214" i="1"/>
  <c r="F214" i="1" s="1"/>
  <c r="G213" i="1"/>
  <c r="E213" i="1"/>
  <c r="G212" i="1"/>
  <c r="E212" i="1"/>
  <c r="G211" i="1"/>
  <c r="E211" i="1"/>
  <c r="G210" i="1"/>
  <c r="E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G184" i="1"/>
  <c r="F184" i="1" s="1"/>
  <c r="E184" i="1"/>
  <c r="G183" i="1"/>
  <c r="E183" i="1"/>
  <c r="G182" i="1"/>
  <c r="E182" i="1"/>
  <c r="G181" i="1"/>
  <c r="E181" i="1"/>
  <c r="G180" i="1"/>
  <c r="E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5" i="1"/>
  <c r="F154" i="1"/>
  <c r="G151" i="1"/>
  <c r="E151" i="1"/>
  <c r="G150" i="1"/>
  <c r="E150" i="1"/>
  <c r="G149" i="1"/>
  <c r="E149" i="1"/>
  <c r="G148" i="1"/>
  <c r="E148" i="1"/>
  <c r="G147" i="1"/>
  <c r="E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G122" i="1"/>
  <c r="E122" i="1"/>
  <c r="F118" i="1"/>
  <c r="F117" i="1"/>
  <c r="F116" i="1"/>
  <c r="F114" i="1"/>
  <c r="F113" i="1"/>
  <c r="F112" i="1"/>
  <c r="G110" i="1"/>
  <c r="E110" i="1"/>
  <c r="F109" i="1"/>
  <c r="F106" i="1"/>
  <c r="F105" i="1"/>
  <c r="F104" i="1"/>
  <c r="F103" i="1"/>
  <c r="G102" i="1"/>
  <c r="E102" i="1"/>
  <c r="F101" i="1"/>
  <c r="F100" i="1"/>
  <c r="F99" i="1"/>
  <c r="F98" i="1"/>
  <c r="F97" i="1"/>
  <c r="F96" i="1"/>
  <c r="F94" i="1"/>
  <c r="F93" i="1"/>
  <c r="F92" i="1"/>
  <c r="F91" i="1"/>
  <c r="F90" i="1"/>
  <c r="F89" i="1"/>
  <c r="F88" i="1"/>
  <c r="F87" i="1"/>
  <c r="F84" i="1"/>
  <c r="F83" i="1"/>
  <c r="F82" i="1"/>
  <c r="F81" i="1"/>
  <c r="F80" i="1"/>
  <c r="F79" i="1"/>
  <c r="F72" i="1"/>
  <c r="E38" i="1"/>
  <c r="F31" i="1"/>
  <c r="F21" i="1"/>
  <c r="F19" i="1"/>
  <c r="F17" i="1"/>
  <c r="F14" i="1"/>
  <c r="G13" i="1"/>
  <c r="G15" i="1" s="1"/>
  <c r="E15" i="1"/>
  <c r="E18" i="1" s="1"/>
  <c r="F12" i="1"/>
  <c r="F11" i="1"/>
  <c r="F10" i="1"/>
  <c r="F9" i="1"/>
  <c r="F8" i="1"/>
  <c r="F7" i="1"/>
  <c r="F6" i="1"/>
  <c r="F5" i="1"/>
  <c r="F4" i="1"/>
  <c r="F99" i="4" l="1"/>
  <c r="F38" i="4"/>
  <c r="F67" i="2"/>
  <c r="F96" i="2"/>
  <c r="F98" i="2"/>
  <c r="E20" i="1"/>
  <c r="E119" i="1"/>
  <c r="F149" i="1"/>
  <c r="F36" i="2"/>
  <c r="F35" i="4"/>
  <c r="F37" i="4"/>
  <c r="E40" i="2"/>
  <c r="F37" i="2"/>
  <c r="F151" i="1"/>
  <c r="G152" i="1"/>
  <c r="E185" i="1"/>
  <c r="E2" i="1" s="1"/>
  <c r="F2" i="1" s="1"/>
  <c r="E71" i="4"/>
  <c r="E3" i="4" s="1"/>
  <c r="F70" i="4"/>
  <c r="F68" i="2"/>
  <c r="G185" i="1"/>
  <c r="G2" i="1" s="1"/>
  <c r="F68" i="5"/>
  <c r="G71" i="3"/>
  <c r="G3" i="3" s="1"/>
  <c r="F68" i="4"/>
  <c r="G71" i="4"/>
  <c r="G3" i="4" s="1"/>
  <c r="G9" i="4" s="1"/>
  <c r="G71" i="2"/>
  <c r="G3" i="2" s="1"/>
  <c r="F70" i="2"/>
  <c r="F99" i="5"/>
  <c r="F100" i="3"/>
  <c r="F100" i="2"/>
  <c r="E215" i="1"/>
  <c r="E3" i="1" s="1"/>
  <c r="F96" i="5"/>
  <c r="F98" i="5"/>
  <c r="F100" i="5"/>
  <c r="G101" i="5"/>
  <c r="G4" i="5" s="1"/>
  <c r="F66" i="5"/>
  <c r="E101" i="5"/>
  <c r="E4" i="5" s="1"/>
  <c r="G71" i="5"/>
  <c r="G3" i="5" s="1"/>
  <c r="F70" i="5"/>
  <c r="E71" i="5"/>
  <c r="E3" i="5" s="1"/>
  <c r="F69" i="5"/>
  <c r="F35" i="5"/>
  <c r="F37" i="5"/>
  <c r="F39" i="5"/>
  <c r="E40" i="5"/>
  <c r="F36" i="5"/>
  <c r="F96" i="3"/>
  <c r="F98" i="3"/>
  <c r="F98" i="4"/>
  <c r="F99" i="2"/>
  <c r="G101" i="4"/>
  <c r="G4" i="4" s="1"/>
  <c r="F97" i="3"/>
  <c r="E101" i="2"/>
  <c r="E4" i="2" s="1"/>
  <c r="F97" i="2"/>
  <c r="F100" i="4"/>
  <c r="E101" i="3"/>
  <c r="E4" i="3" s="1"/>
  <c r="F70" i="3"/>
  <c r="F69" i="4"/>
  <c r="F66" i="2"/>
  <c r="F68" i="3"/>
  <c r="F69" i="2"/>
  <c r="E71" i="3"/>
  <c r="F71" i="3" s="1"/>
  <c r="F39" i="2"/>
  <c r="F39" i="4"/>
  <c r="F38" i="3"/>
  <c r="G40" i="4"/>
  <c r="F38" i="2"/>
  <c r="F36" i="4"/>
  <c r="F35" i="2"/>
  <c r="F36" i="3"/>
  <c r="E40" i="3"/>
  <c r="E3" i="3"/>
  <c r="E71" i="2"/>
  <c r="G40" i="3"/>
  <c r="E40" i="4"/>
  <c r="F67" i="5"/>
  <c r="F97" i="5"/>
  <c r="F66" i="3"/>
  <c r="E101" i="4"/>
  <c r="F67" i="4"/>
  <c r="G40" i="2"/>
  <c r="G41" i="2" s="1"/>
  <c r="G101" i="2"/>
  <c r="G4" i="2" s="1"/>
  <c r="G40" i="5"/>
  <c r="G101" i="3"/>
  <c r="G4" i="3" s="1"/>
  <c r="F66" i="4"/>
  <c r="F96" i="4"/>
  <c r="G215" i="1"/>
  <c r="G3" i="1" s="1"/>
  <c r="F212" i="1"/>
  <c r="F213" i="1"/>
  <c r="F210" i="1"/>
  <c r="F183" i="1"/>
  <c r="F182" i="1"/>
  <c r="F180" i="1"/>
  <c r="F147" i="1"/>
  <c r="E152" i="1"/>
  <c r="F150" i="1"/>
  <c r="F110" i="1"/>
  <c r="F102" i="1"/>
  <c r="E24" i="1"/>
  <c r="E25" i="1" s="1"/>
  <c r="F13" i="1"/>
  <c r="G18" i="1"/>
  <c r="G26" i="1"/>
  <c r="G27" i="1" s="1"/>
  <c r="F15" i="1"/>
  <c r="E26" i="1"/>
  <c r="F148" i="1"/>
  <c r="G24" i="1"/>
  <c r="F181" i="1"/>
  <c r="F211" i="1"/>
  <c r="C5" i="5"/>
  <c r="E78" i="1" l="1"/>
  <c r="E95" i="1" s="1"/>
  <c r="E111" i="1" s="1"/>
  <c r="E22" i="1"/>
  <c r="E41" i="5"/>
  <c r="E41" i="2"/>
  <c r="F152" i="1"/>
  <c r="E41" i="3"/>
  <c r="G41" i="5"/>
  <c r="G41" i="4"/>
  <c r="G41" i="3"/>
  <c r="F185" i="1"/>
  <c r="G9" i="3"/>
  <c r="G9" i="2"/>
  <c r="F71" i="4"/>
  <c r="F215" i="1"/>
  <c r="G10" i="3"/>
  <c r="G10" i="4"/>
  <c r="G10" i="2"/>
  <c r="F101" i="5"/>
  <c r="F4" i="5"/>
  <c r="F3" i="5"/>
  <c r="F71" i="5"/>
  <c r="F101" i="3"/>
  <c r="F40" i="2"/>
  <c r="F40" i="3"/>
  <c r="E4" i="4"/>
  <c r="F101" i="4"/>
  <c r="E41" i="4"/>
  <c r="F40" i="4"/>
  <c r="E9" i="3"/>
  <c r="F3" i="3"/>
  <c r="F40" i="5"/>
  <c r="F4" i="3"/>
  <c r="E10" i="3"/>
  <c r="E10" i="2"/>
  <c r="F4" i="2"/>
  <c r="F71" i="2"/>
  <c r="E3" i="2"/>
  <c r="F101" i="2"/>
  <c r="F3" i="4"/>
  <c r="E9" i="4"/>
  <c r="F3" i="1"/>
  <c r="G119" i="1"/>
  <c r="G20" i="1"/>
  <c r="F18" i="1"/>
  <c r="G25" i="1"/>
  <c r="F24" i="1"/>
  <c r="E70" i="1"/>
  <c r="F65" i="1" s="1"/>
  <c r="E27" i="1"/>
  <c r="F26" i="1"/>
  <c r="E75" i="1"/>
  <c r="F38" i="1" l="1"/>
  <c r="F43" i="1"/>
  <c r="F47" i="1"/>
  <c r="F51" i="1"/>
  <c r="F55" i="1"/>
  <c r="F59" i="1"/>
  <c r="F63" i="1"/>
  <c r="F67" i="1"/>
  <c r="F39" i="1"/>
  <c r="F40" i="1"/>
  <c r="F52" i="1"/>
  <c r="F56" i="1"/>
  <c r="F64" i="1"/>
  <c r="F41" i="1"/>
  <c r="F49" i="1"/>
  <c r="F61" i="1"/>
  <c r="F69" i="1"/>
  <c r="F42" i="1"/>
  <c r="F46" i="1"/>
  <c r="F50" i="1"/>
  <c r="F54" i="1"/>
  <c r="F58" i="1"/>
  <c r="F62" i="1"/>
  <c r="F66" i="1"/>
  <c r="F70" i="1"/>
  <c r="F44" i="1"/>
  <c r="F48" i="1"/>
  <c r="F60" i="1"/>
  <c r="F68" i="1"/>
  <c r="F45" i="1"/>
  <c r="F53" i="1"/>
  <c r="F57" i="1"/>
  <c r="E29" i="1"/>
  <c r="E28" i="1"/>
  <c r="E9" i="2"/>
  <c r="F3" i="2"/>
  <c r="E10" i="4"/>
  <c r="F4" i="4"/>
  <c r="E115" i="1"/>
  <c r="G78" i="1"/>
  <c r="G22" i="1"/>
  <c r="F20" i="1"/>
  <c r="I87" i="4"/>
  <c r="J96" i="4"/>
  <c r="G28" i="1" l="1"/>
  <c r="F28" i="1" s="1"/>
  <c r="G29" i="1"/>
  <c r="F22" i="1"/>
  <c r="G85" i="1"/>
  <c r="F78" i="1"/>
  <c r="J180" i="1"/>
  <c r="G95" i="1" l="1"/>
  <c r="F85" i="1"/>
  <c r="J98" i="5"/>
  <c r="H98" i="5"/>
  <c r="J68" i="5"/>
  <c r="H68" i="5"/>
  <c r="J37" i="5"/>
  <c r="H37" i="5"/>
  <c r="I80" i="5"/>
  <c r="I81" i="5"/>
  <c r="I86" i="5"/>
  <c r="I88" i="5"/>
  <c r="I93" i="5"/>
  <c r="I55" i="5"/>
  <c r="I56" i="5"/>
  <c r="I57" i="5"/>
  <c r="I58" i="5"/>
  <c r="I59" i="5"/>
  <c r="I60" i="5"/>
  <c r="I61" i="5"/>
  <c r="I30" i="5"/>
  <c r="I31" i="5"/>
  <c r="I28" i="3"/>
  <c r="I58" i="2"/>
  <c r="I58" i="3"/>
  <c r="I16" i="4"/>
  <c r="I17" i="4"/>
  <c r="I18" i="4"/>
  <c r="I19" i="4"/>
  <c r="I20" i="4"/>
  <c r="I21" i="4"/>
  <c r="I22" i="4"/>
  <c r="I23" i="4"/>
  <c r="I24" i="4"/>
  <c r="I16" i="3"/>
  <c r="I17" i="3"/>
  <c r="I18" i="3"/>
  <c r="I19" i="3"/>
  <c r="I20" i="3"/>
  <c r="I21" i="3"/>
  <c r="I22" i="3"/>
  <c r="I23" i="3"/>
  <c r="I24" i="3"/>
  <c r="I17" i="2"/>
  <c r="I18" i="2"/>
  <c r="I20" i="2"/>
  <c r="I21" i="2"/>
  <c r="J37" i="4"/>
  <c r="J37" i="3"/>
  <c r="J37" i="2"/>
  <c r="H37" i="4"/>
  <c r="H37" i="3"/>
  <c r="H37" i="2"/>
  <c r="I94" i="4"/>
  <c r="I94" i="3"/>
  <c r="I77" i="4"/>
  <c r="I78" i="4"/>
  <c r="I79" i="4"/>
  <c r="I80" i="4"/>
  <c r="I81" i="4"/>
  <c r="I82" i="4"/>
  <c r="I83" i="4"/>
  <c r="I84" i="4"/>
  <c r="I85" i="4"/>
  <c r="I86" i="4"/>
  <c r="I89" i="4"/>
  <c r="I91" i="4"/>
  <c r="I92" i="4"/>
  <c r="I93" i="4"/>
  <c r="I77" i="3"/>
  <c r="I78" i="3"/>
  <c r="I79" i="3"/>
  <c r="I80" i="3"/>
  <c r="I81" i="3"/>
  <c r="I82" i="3"/>
  <c r="I83" i="3"/>
  <c r="I85" i="3"/>
  <c r="I86" i="3"/>
  <c r="I87" i="3"/>
  <c r="I89" i="3"/>
  <c r="I90" i="3"/>
  <c r="I91" i="3"/>
  <c r="I92" i="3"/>
  <c r="I93" i="3"/>
  <c r="I79" i="2"/>
  <c r="I81" i="2"/>
  <c r="I86" i="2"/>
  <c r="I87" i="2"/>
  <c r="I88" i="2"/>
  <c r="I89" i="2"/>
  <c r="I90" i="2"/>
  <c r="I91" i="2"/>
  <c r="I92" i="2"/>
  <c r="I93" i="2"/>
  <c r="J98" i="4"/>
  <c r="J98" i="3"/>
  <c r="J98" i="2"/>
  <c r="H98" i="4"/>
  <c r="H98" i="3"/>
  <c r="H98" i="2"/>
  <c r="J68" i="4"/>
  <c r="J68" i="3"/>
  <c r="J68" i="2"/>
  <c r="H68" i="4"/>
  <c r="H68" i="3"/>
  <c r="H68" i="2"/>
  <c r="I50" i="4"/>
  <c r="I51" i="4"/>
  <c r="I52" i="4"/>
  <c r="I53" i="4"/>
  <c r="I54" i="4"/>
  <c r="I55" i="4"/>
  <c r="I56" i="4"/>
  <c r="I50" i="3"/>
  <c r="I51" i="3"/>
  <c r="I52" i="3"/>
  <c r="I53" i="3"/>
  <c r="I54" i="3"/>
  <c r="I55" i="3"/>
  <c r="I56" i="3"/>
  <c r="I51" i="2"/>
  <c r="I53" i="2"/>
  <c r="I54" i="2"/>
  <c r="I56" i="2"/>
  <c r="J212" i="1"/>
  <c r="H212" i="1"/>
  <c r="J182" i="1"/>
  <c r="H182" i="1"/>
  <c r="J149" i="1"/>
  <c r="H149" i="1"/>
  <c r="G111" i="1" l="1"/>
  <c r="F95" i="1"/>
  <c r="C9" i="5"/>
  <c r="D8" i="5"/>
  <c r="B8" i="5"/>
  <c r="C7" i="5"/>
  <c r="C6" i="5"/>
  <c r="D8" i="4"/>
  <c r="D8" i="3"/>
  <c r="C7" i="4"/>
  <c r="C6" i="4"/>
  <c r="C5" i="4"/>
  <c r="C7" i="3"/>
  <c r="C6" i="3"/>
  <c r="C5" i="3"/>
  <c r="C7" i="2"/>
  <c r="C6" i="2"/>
  <c r="C5" i="2"/>
  <c r="C31" i="1"/>
  <c r="C21" i="1"/>
  <c r="C19" i="1"/>
  <c r="D17" i="1"/>
  <c r="B17" i="1"/>
  <c r="C14" i="1"/>
  <c r="D13" i="1"/>
  <c r="D15" i="1" s="1"/>
  <c r="B13" i="1"/>
  <c r="C12" i="1"/>
  <c r="C11" i="1"/>
  <c r="C10" i="1"/>
  <c r="C9" i="1"/>
  <c r="C8" i="1"/>
  <c r="C7" i="1"/>
  <c r="C6" i="1"/>
  <c r="C5" i="1"/>
  <c r="C4" i="1"/>
  <c r="G115" i="1" l="1"/>
  <c r="F115" i="1" s="1"/>
  <c r="F111" i="1"/>
  <c r="B15" i="1"/>
  <c r="N10" i="5" s="1"/>
  <c r="B24" i="1"/>
  <c r="B25" i="1" s="1"/>
  <c r="D18" i="1"/>
  <c r="C17" i="1"/>
  <c r="D26" i="1"/>
  <c r="D27" i="1" s="1"/>
  <c r="C16" i="1"/>
  <c r="C13" i="1"/>
  <c r="D24" i="1"/>
  <c r="D25" i="1" s="1"/>
  <c r="H110" i="1"/>
  <c r="C15" i="1" l="1"/>
  <c r="B18" i="1"/>
  <c r="C18" i="1" s="1"/>
  <c r="D9" i="3"/>
  <c r="D9" i="4"/>
  <c r="B9" i="4"/>
  <c r="B9" i="3"/>
  <c r="B26" i="1"/>
  <c r="B27" i="1" s="1"/>
  <c r="C2" i="1"/>
  <c r="C3" i="5"/>
  <c r="C3" i="2"/>
  <c r="C3" i="4"/>
  <c r="C3" i="3"/>
  <c r="C24" i="1"/>
  <c r="D20" i="1"/>
  <c r="J63" i="1"/>
  <c r="J59" i="1"/>
  <c r="J54" i="1"/>
  <c r="J52" i="1"/>
  <c r="H54" i="1"/>
  <c r="H52" i="1"/>
  <c r="C26" i="1" l="1"/>
  <c r="B20" i="1"/>
  <c r="D22" i="1"/>
  <c r="D28" i="1" s="1"/>
  <c r="H69" i="1"/>
  <c r="C20" i="1" l="1"/>
  <c r="B22" i="1"/>
  <c r="C22" i="1" s="1"/>
  <c r="D29" i="1"/>
  <c r="H63" i="1"/>
  <c r="H16" i="1"/>
  <c r="B28" i="1" l="1"/>
  <c r="C28" i="1" s="1"/>
  <c r="B29" i="1"/>
  <c r="I9" i="5"/>
  <c r="I5" i="5"/>
  <c r="I6" i="5"/>
  <c r="I7" i="5"/>
  <c r="I75" i="5"/>
  <c r="I76" i="5"/>
  <c r="I77" i="5"/>
  <c r="I95" i="5"/>
  <c r="I74" i="5"/>
  <c r="I45" i="5"/>
  <c r="I46" i="5"/>
  <c r="I47" i="5"/>
  <c r="I48" i="5"/>
  <c r="I49" i="5"/>
  <c r="I50" i="5"/>
  <c r="I51" i="5"/>
  <c r="I52" i="5"/>
  <c r="I53" i="5"/>
  <c r="I54" i="5"/>
  <c r="I63" i="5"/>
  <c r="I64" i="5"/>
  <c r="I65" i="5"/>
  <c r="I44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13" i="5"/>
  <c r="H8" i="4"/>
  <c r="I14" i="3"/>
  <c r="I15" i="3"/>
  <c r="I25" i="3"/>
  <c r="I26" i="3"/>
  <c r="I30" i="3"/>
  <c r="I31" i="3"/>
  <c r="I32" i="3"/>
  <c r="I33" i="3"/>
  <c r="I34" i="3"/>
  <c r="I14" i="4"/>
  <c r="I15" i="4"/>
  <c r="I25" i="4"/>
  <c r="I26" i="4"/>
  <c r="I27" i="4"/>
  <c r="I28" i="4"/>
  <c r="I29" i="4"/>
  <c r="I30" i="4"/>
  <c r="I31" i="4"/>
  <c r="I32" i="4"/>
  <c r="I33" i="4"/>
  <c r="I34" i="4"/>
  <c r="I14" i="2"/>
  <c r="I15" i="2"/>
  <c r="I25" i="2"/>
  <c r="I26" i="2"/>
  <c r="I27" i="2"/>
  <c r="I28" i="2"/>
  <c r="I29" i="2"/>
  <c r="I30" i="2"/>
  <c r="I31" i="2"/>
  <c r="I32" i="2"/>
  <c r="I33" i="2"/>
  <c r="I34" i="2"/>
  <c r="I13" i="3"/>
  <c r="I13" i="4"/>
  <c r="I13" i="2"/>
  <c r="I45" i="3"/>
  <c r="I46" i="3"/>
  <c r="I47" i="3"/>
  <c r="I48" i="3"/>
  <c r="I49" i="3"/>
  <c r="I57" i="3"/>
  <c r="I59" i="3"/>
  <c r="I61" i="3"/>
  <c r="I62" i="3"/>
  <c r="I63" i="3"/>
  <c r="I64" i="3"/>
  <c r="I65" i="3"/>
  <c r="I45" i="4"/>
  <c r="I46" i="4"/>
  <c r="I47" i="4"/>
  <c r="I48" i="4"/>
  <c r="I49" i="4"/>
  <c r="I57" i="4"/>
  <c r="I59" i="4"/>
  <c r="I60" i="4"/>
  <c r="I61" i="4"/>
  <c r="I62" i="4"/>
  <c r="I63" i="4"/>
  <c r="I64" i="4"/>
  <c r="I65" i="4"/>
  <c r="I45" i="2"/>
  <c r="I46" i="2"/>
  <c r="I47" i="2"/>
  <c r="I48" i="2"/>
  <c r="I49" i="2"/>
  <c r="I57" i="2"/>
  <c r="I59" i="2"/>
  <c r="I60" i="2"/>
  <c r="I61" i="2"/>
  <c r="I62" i="2"/>
  <c r="I63" i="2"/>
  <c r="I64" i="2"/>
  <c r="I65" i="2"/>
  <c r="I44" i="3"/>
  <c r="I44" i="4"/>
  <c r="I44" i="2"/>
  <c r="I75" i="3"/>
  <c r="I76" i="3"/>
  <c r="I95" i="3"/>
  <c r="I75" i="4"/>
  <c r="I76" i="4"/>
  <c r="I95" i="4"/>
  <c r="I75" i="2"/>
  <c r="I76" i="2"/>
  <c r="I95" i="2"/>
  <c r="I74" i="3"/>
  <c r="I74" i="4"/>
  <c r="I74" i="2"/>
  <c r="I5" i="3"/>
  <c r="I6" i="3"/>
  <c r="I7" i="3"/>
  <c r="I5" i="4"/>
  <c r="I6" i="4"/>
  <c r="I7" i="4"/>
  <c r="I5" i="2"/>
  <c r="I6" i="2"/>
  <c r="I7" i="2"/>
  <c r="H100" i="3"/>
  <c r="H99" i="3"/>
  <c r="H97" i="3"/>
  <c r="H96" i="3"/>
  <c r="H70" i="3"/>
  <c r="H69" i="3"/>
  <c r="H67" i="3"/>
  <c r="H66" i="3"/>
  <c r="H39" i="3"/>
  <c r="H38" i="3"/>
  <c r="H36" i="3"/>
  <c r="H35" i="3"/>
  <c r="H8" i="3"/>
  <c r="H100" i="4"/>
  <c r="H99" i="4"/>
  <c r="H97" i="4"/>
  <c r="H96" i="4"/>
  <c r="H70" i="4"/>
  <c r="H69" i="4"/>
  <c r="H67" i="4"/>
  <c r="H66" i="4"/>
  <c r="H39" i="4"/>
  <c r="H38" i="4"/>
  <c r="H36" i="4"/>
  <c r="H35" i="4"/>
  <c r="H100" i="5"/>
  <c r="H99" i="5"/>
  <c r="H97" i="5"/>
  <c r="H96" i="5"/>
  <c r="H70" i="5"/>
  <c r="H69" i="5"/>
  <c r="H67" i="5"/>
  <c r="H66" i="5"/>
  <c r="H39" i="5"/>
  <c r="H38" i="5"/>
  <c r="H36" i="5"/>
  <c r="H35" i="5"/>
  <c r="H8" i="5"/>
  <c r="H100" i="2"/>
  <c r="H99" i="2"/>
  <c r="H97" i="2"/>
  <c r="H96" i="2"/>
  <c r="H70" i="2"/>
  <c r="H69" i="2"/>
  <c r="H67" i="2"/>
  <c r="H66" i="2"/>
  <c r="H39" i="2"/>
  <c r="H38" i="2"/>
  <c r="H36" i="2"/>
  <c r="H35" i="2"/>
  <c r="H8" i="2"/>
  <c r="J100" i="5"/>
  <c r="J99" i="5"/>
  <c r="J97" i="5"/>
  <c r="J96" i="5"/>
  <c r="J70" i="5"/>
  <c r="J69" i="5"/>
  <c r="J67" i="5"/>
  <c r="J66" i="5"/>
  <c r="N41" i="5"/>
  <c r="L41" i="5"/>
  <c r="J39" i="5"/>
  <c r="J38" i="5"/>
  <c r="J36" i="5"/>
  <c r="J35" i="5"/>
  <c r="M9" i="5"/>
  <c r="K9" i="5"/>
  <c r="J8" i="5"/>
  <c r="M101" i="4"/>
  <c r="J100" i="4"/>
  <c r="J99" i="4"/>
  <c r="J97" i="4"/>
  <c r="M71" i="4"/>
  <c r="J70" i="4"/>
  <c r="J69" i="4"/>
  <c r="J67" i="4"/>
  <c r="J66" i="4"/>
  <c r="N41" i="4"/>
  <c r="L41" i="4"/>
  <c r="M40" i="4"/>
  <c r="J39" i="4"/>
  <c r="J38" i="4"/>
  <c r="J36" i="4"/>
  <c r="J35" i="4"/>
  <c r="N10" i="4"/>
  <c r="L10" i="4"/>
  <c r="N9" i="4"/>
  <c r="L9" i="4"/>
  <c r="N8" i="4"/>
  <c r="L8" i="4"/>
  <c r="J8" i="4"/>
  <c r="M7" i="4"/>
  <c r="K7" i="4"/>
  <c r="M6" i="4"/>
  <c r="K6" i="4"/>
  <c r="K5" i="4"/>
  <c r="M101" i="3"/>
  <c r="J100" i="3"/>
  <c r="J99" i="3"/>
  <c r="J97" i="3"/>
  <c r="J96" i="3"/>
  <c r="M71" i="3"/>
  <c r="J70" i="3"/>
  <c r="J69" i="3"/>
  <c r="J67" i="3"/>
  <c r="J66" i="3"/>
  <c r="N41" i="3"/>
  <c r="L41" i="3"/>
  <c r="M40" i="3"/>
  <c r="J39" i="3"/>
  <c r="J38" i="3"/>
  <c r="J36" i="3"/>
  <c r="J35" i="3"/>
  <c r="N10" i="3"/>
  <c r="L10" i="3"/>
  <c r="N9" i="3"/>
  <c r="L9" i="3"/>
  <c r="N8" i="3"/>
  <c r="L8" i="3"/>
  <c r="J8" i="3"/>
  <c r="M7" i="3"/>
  <c r="K7" i="3"/>
  <c r="M6" i="3"/>
  <c r="K6" i="3"/>
  <c r="K5" i="3"/>
  <c r="M101" i="2"/>
  <c r="J100" i="2"/>
  <c r="J99" i="2"/>
  <c r="J97" i="2"/>
  <c r="J96" i="2"/>
  <c r="M71" i="2"/>
  <c r="J70" i="2"/>
  <c r="J69" i="2"/>
  <c r="J67" i="2"/>
  <c r="J66" i="2"/>
  <c r="N41" i="2"/>
  <c r="L41" i="2"/>
  <c r="M40" i="2"/>
  <c r="J39" i="2"/>
  <c r="J38" i="2"/>
  <c r="J36" i="2"/>
  <c r="J35" i="2"/>
  <c r="N10" i="2"/>
  <c r="L10" i="2"/>
  <c r="N9" i="2"/>
  <c r="L9" i="2"/>
  <c r="N8" i="2"/>
  <c r="L8" i="2"/>
  <c r="J8" i="2"/>
  <c r="K5" i="2"/>
  <c r="J214" i="1"/>
  <c r="H214" i="1"/>
  <c r="J213" i="1"/>
  <c r="H213" i="1"/>
  <c r="J211" i="1"/>
  <c r="H211" i="1"/>
  <c r="J210" i="1"/>
  <c r="H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J184" i="1"/>
  <c r="H184" i="1"/>
  <c r="J183" i="1"/>
  <c r="H183" i="1"/>
  <c r="J181" i="1"/>
  <c r="H181" i="1"/>
  <c r="H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M155" i="1"/>
  <c r="K155" i="1"/>
  <c r="I155" i="1"/>
  <c r="M154" i="1"/>
  <c r="K154" i="1"/>
  <c r="I154" i="1"/>
  <c r="J151" i="1"/>
  <c r="H151" i="1"/>
  <c r="J150" i="1"/>
  <c r="H150" i="1"/>
  <c r="J148" i="1"/>
  <c r="H148" i="1"/>
  <c r="J147" i="1"/>
  <c r="H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L122" i="1"/>
  <c r="J122" i="1"/>
  <c r="H122" i="1"/>
  <c r="M118" i="1"/>
  <c r="K118" i="1"/>
  <c r="I118" i="1"/>
  <c r="M117" i="1"/>
  <c r="K117" i="1"/>
  <c r="I117" i="1"/>
  <c r="M116" i="1"/>
  <c r="K116" i="1"/>
  <c r="I116" i="1"/>
  <c r="K114" i="1"/>
  <c r="I114" i="1"/>
  <c r="K113" i="1"/>
  <c r="I113" i="1"/>
  <c r="H112" i="1"/>
  <c r="J110" i="1"/>
  <c r="M109" i="1"/>
  <c r="K109" i="1"/>
  <c r="I109" i="1"/>
  <c r="M108" i="1"/>
  <c r="K108" i="1"/>
  <c r="I108" i="1"/>
  <c r="K107" i="1"/>
  <c r="I107" i="1"/>
  <c r="M106" i="1"/>
  <c r="K106" i="1"/>
  <c r="I106" i="1"/>
  <c r="M105" i="1"/>
  <c r="K105" i="1"/>
  <c r="I105" i="1"/>
  <c r="L104" i="1"/>
  <c r="L110" i="1" s="1"/>
  <c r="I104" i="1"/>
  <c r="K103" i="1"/>
  <c r="I103" i="1"/>
  <c r="L102" i="1"/>
  <c r="J102" i="1"/>
  <c r="H102" i="1"/>
  <c r="M101" i="1"/>
  <c r="K101" i="1"/>
  <c r="I101" i="1"/>
  <c r="M100" i="1"/>
  <c r="K100" i="1"/>
  <c r="I100" i="1"/>
  <c r="M99" i="1"/>
  <c r="K99" i="1"/>
  <c r="I99" i="1"/>
  <c r="M98" i="1"/>
  <c r="K98" i="1"/>
  <c r="I98" i="1"/>
  <c r="M97" i="1"/>
  <c r="K97" i="1"/>
  <c r="I97" i="1"/>
  <c r="M96" i="1"/>
  <c r="K96" i="1"/>
  <c r="I96" i="1"/>
  <c r="I94" i="1"/>
  <c r="M93" i="1"/>
  <c r="I93" i="1"/>
  <c r="M92" i="1"/>
  <c r="K92" i="1"/>
  <c r="I92" i="1"/>
  <c r="M91" i="1"/>
  <c r="I91" i="1"/>
  <c r="M90" i="1"/>
  <c r="K90" i="1"/>
  <c r="I90" i="1"/>
  <c r="M89" i="1"/>
  <c r="K89" i="1"/>
  <c r="I89" i="1"/>
  <c r="I88" i="1"/>
  <c r="M87" i="1"/>
  <c r="K87" i="1"/>
  <c r="I87" i="1"/>
  <c r="M84" i="1"/>
  <c r="K84" i="1"/>
  <c r="I84" i="1"/>
  <c r="M83" i="1"/>
  <c r="I83" i="1"/>
  <c r="M82" i="1"/>
  <c r="K82" i="1"/>
  <c r="I82" i="1"/>
  <c r="M81" i="1"/>
  <c r="K81" i="1"/>
  <c r="I81" i="1"/>
  <c r="K80" i="1"/>
  <c r="I80" i="1"/>
  <c r="K79" i="1"/>
  <c r="I79" i="1"/>
  <c r="J78" i="1"/>
  <c r="J85" i="1" s="1"/>
  <c r="I72" i="1"/>
  <c r="J69" i="1"/>
  <c r="L65" i="1"/>
  <c r="H65" i="1"/>
  <c r="L63" i="1"/>
  <c r="L54" i="1"/>
  <c r="L52" i="1"/>
  <c r="H48" i="1"/>
  <c r="H75" i="1" s="1"/>
  <c r="L46" i="1"/>
  <c r="L38" i="1" s="1"/>
  <c r="H38" i="1"/>
  <c r="M33" i="1"/>
  <c r="K33" i="1"/>
  <c r="I33" i="1"/>
  <c r="M31" i="1"/>
  <c r="K31" i="1"/>
  <c r="I31" i="1"/>
  <c r="J26" i="1"/>
  <c r="J27" i="1" s="1"/>
  <c r="J24" i="1"/>
  <c r="J25" i="1" s="1"/>
  <c r="J22" i="1"/>
  <c r="J28" i="1" s="1"/>
  <c r="M21" i="1"/>
  <c r="K21" i="1"/>
  <c r="I21" i="1"/>
  <c r="M19" i="1"/>
  <c r="K19" i="1"/>
  <c r="I19" i="1"/>
  <c r="H17" i="1"/>
  <c r="L16" i="1"/>
  <c r="L17" i="1" s="1"/>
  <c r="J16" i="1"/>
  <c r="J17" i="1" s="1"/>
  <c r="M14" i="1"/>
  <c r="K14" i="1"/>
  <c r="I14" i="1"/>
  <c r="L13" i="1"/>
  <c r="L15" i="1" s="1"/>
  <c r="H13" i="1"/>
  <c r="M12" i="1"/>
  <c r="I12" i="1"/>
  <c r="M11" i="1"/>
  <c r="I11" i="1"/>
  <c r="M10" i="1"/>
  <c r="K10" i="1"/>
  <c r="I10" i="1"/>
  <c r="M9" i="1"/>
  <c r="K9" i="1"/>
  <c r="I9" i="1"/>
  <c r="M8" i="1"/>
  <c r="K8" i="1"/>
  <c r="I8" i="1"/>
  <c r="M7" i="1"/>
  <c r="K7" i="1"/>
  <c r="I7" i="1"/>
  <c r="M6" i="1"/>
  <c r="K6" i="1"/>
  <c r="I6" i="1"/>
  <c r="M5" i="1"/>
  <c r="K5" i="1"/>
  <c r="I5" i="1"/>
  <c r="K4" i="1"/>
  <c r="I4" i="1"/>
  <c r="K3" i="1"/>
  <c r="K2" i="1"/>
  <c r="J71" i="5" l="1"/>
  <c r="J3" i="5" s="1"/>
  <c r="I66" i="5"/>
  <c r="I38" i="5"/>
  <c r="K102" i="1"/>
  <c r="I180" i="1"/>
  <c r="I182" i="1"/>
  <c r="I184" i="1"/>
  <c r="I17" i="1"/>
  <c r="J29" i="1"/>
  <c r="I181" i="1"/>
  <c r="J215" i="1"/>
  <c r="K215" i="1" s="1"/>
  <c r="J40" i="2"/>
  <c r="K40" i="2" s="1"/>
  <c r="I97" i="5"/>
  <c r="I35" i="4"/>
  <c r="I69" i="4"/>
  <c r="I39" i="3"/>
  <c r="J18" i="1"/>
  <c r="I110" i="1"/>
  <c r="I149" i="1"/>
  <c r="I213" i="1"/>
  <c r="I37" i="2"/>
  <c r="I96" i="2"/>
  <c r="I100" i="2"/>
  <c r="I37" i="5"/>
  <c r="I67" i="5"/>
  <c r="I96" i="5"/>
  <c r="I100" i="5"/>
  <c r="I38" i="4"/>
  <c r="I68" i="4"/>
  <c r="I97" i="4"/>
  <c r="I38" i="3"/>
  <c r="I68" i="3"/>
  <c r="I97" i="3"/>
  <c r="L24" i="1"/>
  <c r="L25" i="1" s="1"/>
  <c r="I68" i="2"/>
  <c r="I68" i="5"/>
  <c r="I98" i="4"/>
  <c r="I35" i="3"/>
  <c r="I69" i="3"/>
  <c r="M13" i="1"/>
  <c r="K16" i="1"/>
  <c r="M122" i="1"/>
  <c r="I150" i="1"/>
  <c r="I210" i="1"/>
  <c r="I212" i="1"/>
  <c r="I35" i="2"/>
  <c r="I39" i="2"/>
  <c r="I69" i="2"/>
  <c r="I98" i="2"/>
  <c r="I35" i="5"/>
  <c r="I39" i="5"/>
  <c r="I69" i="5"/>
  <c r="I98" i="5"/>
  <c r="I36" i="4"/>
  <c r="I66" i="4"/>
  <c r="I70" i="4"/>
  <c r="I99" i="4"/>
  <c r="I36" i="3"/>
  <c r="I66" i="3"/>
  <c r="I70" i="3"/>
  <c r="I99" i="3"/>
  <c r="I38" i="2"/>
  <c r="I39" i="4"/>
  <c r="I98" i="3"/>
  <c r="K17" i="1"/>
  <c r="J101" i="3"/>
  <c r="K101" i="3" s="1"/>
  <c r="J71" i="4"/>
  <c r="K71" i="4" s="1"/>
  <c r="J101" i="4"/>
  <c r="J4" i="4" s="1"/>
  <c r="I36" i="2"/>
  <c r="I66" i="2"/>
  <c r="I70" i="2"/>
  <c r="I99" i="2"/>
  <c r="I36" i="5"/>
  <c r="I70" i="5"/>
  <c r="I99" i="5"/>
  <c r="I37" i="4"/>
  <c r="I67" i="4"/>
  <c r="I100" i="4"/>
  <c r="I37" i="3"/>
  <c r="I67" i="3"/>
  <c r="I96" i="3"/>
  <c r="I100" i="3"/>
  <c r="I67" i="2"/>
  <c r="H152" i="1"/>
  <c r="I148" i="1"/>
  <c r="I151" i="1"/>
  <c r="I147" i="1"/>
  <c r="I211" i="1"/>
  <c r="I214" i="1"/>
  <c r="H101" i="4"/>
  <c r="I96" i="4"/>
  <c r="H101" i="2"/>
  <c r="I97" i="2"/>
  <c r="H71" i="5"/>
  <c r="H101" i="5"/>
  <c r="H40" i="5"/>
  <c r="H101" i="3"/>
  <c r="H71" i="2"/>
  <c r="H71" i="3"/>
  <c r="H71" i="4"/>
  <c r="H40" i="4"/>
  <c r="H40" i="2"/>
  <c r="H40" i="3"/>
  <c r="J71" i="2"/>
  <c r="K71" i="2" s="1"/>
  <c r="J101" i="2"/>
  <c r="J4" i="2" s="1"/>
  <c r="J40" i="4"/>
  <c r="K40" i="4" s="1"/>
  <c r="J40" i="5"/>
  <c r="K40" i="5" s="1"/>
  <c r="J101" i="5"/>
  <c r="J4" i="5" s="1"/>
  <c r="I183" i="1"/>
  <c r="H15" i="1"/>
  <c r="H24" i="1"/>
  <c r="I13" i="1"/>
  <c r="M15" i="1"/>
  <c r="L26" i="1"/>
  <c r="L18" i="1"/>
  <c r="K15" i="1"/>
  <c r="M110" i="1"/>
  <c r="K110" i="1"/>
  <c r="H70" i="1"/>
  <c r="K13" i="1"/>
  <c r="I16" i="1"/>
  <c r="M102" i="1"/>
  <c r="J152" i="1"/>
  <c r="K152" i="1" s="1"/>
  <c r="J40" i="3"/>
  <c r="J71" i="3"/>
  <c r="J119" i="1"/>
  <c r="J65" i="1"/>
  <c r="J75" i="1" s="1"/>
  <c r="L59" i="1"/>
  <c r="J34" i="1"/>
  <c r="L48" i="1"/>
  <c r="I102" i="1"/>
  <c r="K104" i="1"/>
  <c r="M104" i="1"/>
  <c r="J95" i="1"/>
  <c r="H185" i="1"/>
  <c r="H2" i="1" s="1"/>
  <c r="I2" i="1" s="1"/>
  <c r="J185" i="1"/>
  <c r="K185" i="1" s="1"/>
  <c r="H215" i="1"/>
  <c r="H41" i="5" l="1"/>
  <c r="J3" i="4"/>
  <c r="J9" i="4" s="1"/>
  <c r="K71" i="5"/>
  <c r="K101" i="5"/>
  <c r="M24" i="1"/>
  <c r="J4" i="3"/>
  <c r="J10" i="3" s="1"/>
  <c r="K101" i="2"/>
  <c r="J10" i="4"/>
  <c r="I215" i="1"/>
  <c r="H3" i="1"/>
  <c r="I3" i="1" s="1"/>
  <c r="I185" i="1"/>
  <c r="H18" i="1"/>
  <c r="I42" i="1"/>
  <c r="I46" i="1"/>
  <c r="I51" i="1"/>
  <c r="I55" i="1"/>
  <c r="I59" i="1"/>
  <c r="I63" i="1"/>
  <c r="I67" i="1"/>
  <c r="I38" i="1"/>
  <c r="I39" i="1"/>
  <c r="I43" i="1"/>
  <c r="I47" i="1"/>
  <c r="I52" i="1"/>
  <c r="I56" i="1"/>
  <c r="I60" i="1"/>
  <c r="I64" i="1"/>
  <c r="I68" i="1"/>
  <c r="I40" i="1"/>
  <c r="I44" i="1"/>
  <c r="I49" i="1"/>
  <c r="I53" i="1"/>
  <c r="I57" i="1"/>
  <c r="I61" i="1"/>
  <c r="I65" i="1"/>
  <c r="I69" i="1"/>
  <c r="I41" i="1"/>
  <c r="I45" i="1"/>
  <c r="I50" i="1"/>
  <c r="I58" i="1"/>
  <c r="I62" i="1"/>
  <c r="I66" i="1"/>
  <c r="I70" i="1"/>
  <c r="I54" i="1"/>
  <c r="I48" i="1"/>
  <c r="K4" i="4"/>
  <c r="K101" i="4"/>
  <c r="I40" i="4"/>
  <c r="I40" i="2"/>
  <c r="I71" i="2"/>
  <c r="H3" i="2"/>
  <c r="I71" i="5"/>
  <c r="H3" i="5"/>
  <c r="I3" i="5" s="1"/>
  <c r="I101" i="4"/>
  <c r="H4" i="4"/>
  <c r="I4" i="4" s="1"/>
  <c r="I101" i="3"/>
  <c r="H4" i="3"/>
  <c r="I71" i="4"/>
  <c r="H3" i="4"/>
  <c r="I40" i="5"/>
  <c r="I101" i="2"/>
  <c r="H4" i="2"/>
  <c r="I4" i="2" s="1"/>
  <c r="K24" i="1"/>
  <c r="I71" i="3"/>
  <c r="H3" i="3"/>
  <c r="I101" i="5"/>
  <c r="H4" i="5"/>
  <c r="I4" i="5" s="1"/>
  <c r="H41" i="3"/>
  <c r="I40" i="3"/>
  <c r="H41" i="4"/>
  <c r="H41" i="2"/>
  <c r="J3" i="2"/>
  <c r="J9" i="2" s="1"/>
  <c r="K3" i="4"/>
  <c r="J111" i="1"/>
  <c r="J41" i="2"/>
  <c r="L75" i="1"/>
  <c r="J3" i="3"/>
  <c r="K71" i="3"/>
  <c r="K26" i="1"/>
  <c r="L27" i="1"/>
  <c r="M26" i="1"/>
  <c r="H25" i="1"/>
  <c r="I24" i="1"/>
  <c r="J70" i="1"/>
  <c r="K65" i="1" s="1"/>
  <c r="L70" i="1"/>
  <c r="M48" i="1" s="1"/>
  <c r="I152" i="1"/>
  <c r="M18" i="1"/>
  <c r="L20" i="1"/>
  <c r="L119" i="1"/>
  <c r="J41" i="5"/>
  <c r="K18" i="1"/>
  <c r="J41" i="3"/>
  <c r="K40" i="3"/>
  <c r="J10" i="2"/>
  <c r="K4" i="2"/>
  <c r="J41" i="4"/>
  <c r="H26" i="1"/>
  <c r="I15" i="1"/>
  <c r="I4" i="3" l="1"/>
  <c r="K4" i="3"/>
  <c r="H10" i="4"/>
  <c r="M59" i="1"/>
  <c r="H20" i="1"/>
  <c r="H119" i="1"/>
  <c r="I18" i="1"/>
  <c r="H10" i="3"/>
  <c r="H10" i="2"/>
  <c r="H9" i="4"/>
  <c r="I3" i="4"/>
  <c r="I3" i="3"/>
  <c r="H9" i="3"/>
  <c r="H9" i="2"/>
  <c r="I3" i="2"/>
  <c r="K3" i="2"/>
  <c r="H27" i="1"/>
  <c r="I26" i="1"/>
  <c r="K63" i="1"/>
  <c r="K51" i="1"/>
  <c r="K50" i="1"/>
  <c r="K49" i="1"/>
  <c r="K47" i="1"/>
  <c r="K62" i="1"/>
  <c r="K61" i="1"/>
  <c r="K58" i="1"/>
  <c r="K57" i="1"/>
  <c r="K56" i="1"/>
  <c r="K55" i="1"/>
  <c r="K53" i="1"/>
  <c r="K38" i="1"/>
  <c r="K44" i="1"/>
  <c r="K42" i="1"/>
  <c r="K40" i="1"/>
  <c r="K45" i="1"/>
  <c r="K41" i="1"/>
  <c r="K39" i="1"/>
  <c r="K64" i="1"/>
  <c r="K59" i="1"/>
  <c r="K48" i="1"/>
  <c r="K68" i="1"/>
  <c r="K66" i="1"/>
  <c r="K54" i="1"/>
  <c r="K52" i="1"/>
  <c r="K43" i="1"/>
  <c r="K70" i="1"/>
  <c r="K67" i="1"/>
  <c r="K46" i="1"/>
  <c r="K69" i="1"/>
  <c r="J9" i="3"/>
  <c r="K3" i="3"/>
  <c r="L78" i="1"/>
  <c r="M20" i="1"/>
  <c r="L22" i="1"/>
  <c r="K20" i="1"/>
  <c r="M70" i="1"/>
  <c r="M69" i="1"/>
  <c r="M62" i="1"/>
  <c r="M61" i="1"/>
  <c r="M60" i="1"/>
  <c r="M58" i="1"/>
  <c r="M57" i="1"/>
  <c r="M56" i="1"/>
  <c r="M55" i="1"/>
  <c r="M53" i="1"/>
  <c r="M46" i="1"/>
  <c r="M68" i="1"/>
  <c r="M67" i="1"/>
  <c r="M66" i="1"/>
  <c r="M64" i="1"/>
  <c r="M51" i="1"/>
  <c r="M49" i="1"/>
  <c r="M38" i="1"/>
  <c r="M50" i="1"/>
  <c r="M47" i="1"/>
  <c r="M44" i="1"/>
  <c r="M40" i="1"/>
  <c r="M45" i="1"/>
  <c r="M43" i="1"/>
  <c r="M41" i="1"/>
  <c r="M39" i="1"/>
  <c r="M65" i="1"/>
  <c r="M42" i="1"/>
  <c r="M52" i="1"/>
  <c r="M63" i="1"/>
  <c r="M54" i="1"/>
  <c r="H22" i="1" l="1"/>
  <c r="I20" i="1"/>
  <c r="H78" i="1"/>
  <c r="M78" i="1"/>
  <c r="K78" i="1"/>
  <c r="L85" i="1"/>
  <c r="L29" i="1"/>
  <c r="M22" i="1"/>
  <c r="K22" i="1"/>
  <c r="L28" i="1"/>
  <c r="I78" i="1" l="1"/>
  <c r="H28" i="1"/>
  <c r="I22" i="1"/>
  <c r="H29" i="1"/>
  <c r="L34" i="1"/>
  <c r="M28" i="1"/>
  <c r="K28" i="1"/>
  <c r="M85" i="1"/>
  <c r="L95" i="1"/>
  <c r="K85" i="1"/>
  <c r="I28" i="1" l="1"/>
  <c r="H34" i="1"/>
  <c r="I85" i="1"/>
  <c r="M95" i="1"/>
  <c r="L111" i="1"/>
  <c r="K95" i="1"/>
  <c r="H111" i="1" l="1"/>
  <c r="I95" i="1"/>
  <c r="M111" i="1"/>
  <c r="K111" i="1"/>
  <c r="I111" i="1" l="1"/>
  <c r="H115" i="1"/>
  <c r="L112" i="1"/>
  <c r="I115" i="1" l="1"/>
  <c r="H120" i="1"/>
  <c r="M112" i="1"/>
  <c r="L115" i="1"/>
  <c r="M115" i="1" l="1"/>
  <c r="J112" i="1"/>
  <c r="K115" i="1"/>
  <c r="K112" i="1" l="1"/>
  <c r="I112" i="1"/>
</calcChain>
</file>

<file path=xl/sharedStrings.xml><?xml version="1.0" encoding="utf-8"?>
<sst xmlns="http://schemas.openxmlformats.org/spreadsheetml/2006/main" count="677" uniqueCount="157">
  <si>
    <t>STRABAG SE</t>
  </si>
  <si>
    <t>% 2013-2014</t>
  </si>
  <si>
    <t>% 2012-2013</t>
  </si>
  <si>
    <t>% 2011-2012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</si>
  <si>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</si>
  <si>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</si>
  <si>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</si>
  <si>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</si>
  <si>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</si>
  <si>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</si>
  <si>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</si>
  <si>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Employee benefits expense </t>
  </si>
  <si>
    <t xml:space="preserve">Other operating expenses </t>
  </si>
  <si>
    <t xml:space="preserve">Share of profit or loss of associates </t>
  </si>
  <si>
    <t>n.m.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</si>
  <si>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</si>
  <si>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</si>
  <si>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</si>
  <si>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</si>
  <si>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</si>
  <si>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</si>
  <si>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</si>
  <si>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</si>
  <si>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</si>
  <si>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</si>
  <si>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</si>
  <si>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</si>
  <si>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</si>
  <si>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</si>
  <si>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</si>
  <si>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2014: % of balance sheet total</t>
  </si>
  <si>
    <t>2013: % of balance sheet total</t>
  </si>
  <si>
    <t>2012: % of balance sheet total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</si>
  <si>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</si>
  <si>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</si>
  <si>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</si>
  <si>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</si>
  <si>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Investments in associates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</si>
  <si>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</si>
  <si>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</si>
  <si>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</si>
  <si>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</si>
  <si>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</si>
  <si>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</si>
  <si>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</si>
  <si>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</si>
  <si>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-</t>
  </si>
  <si>
    <t>Group equity</t>
  </si>
  <si>
    <t xml:space="preserve">Share capital </t>
  </si>
  <si>
    <t xml:space="preserve">Capital reserves </t>
  </si>
  <si>
    <t xml:space="preserve">Retained earnings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</si>
  <si>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</si>
  <si>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</si>
  <si>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</si>
  <si>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</si>
  <si>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</si>
  <si>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</si>
  <si>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</si>
  <si>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</si>
  <si>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</si>
  <si>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</si>
  <si>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</si>
  <si>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WC as % of revenue</t>
  </si>
  <si>
    <t>Net income</t>
  </si>
  <si>
    <t>Non-cash effective results from consolidation</t>
  </si>
  <si>
    <t>Non-cash effective results from associates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</si>
  <si>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</si>
  <si>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</si>
  <si>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</si>
  <si>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</si>
  <si>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</si>
  <si>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</si>
  <si>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</si>
  <si>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</si>
  <si>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</si>
  <si>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</si>
  <si>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</si>
  <si>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</si>
  <si>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</si>
  <si>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</si>
  <si>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</si>
  <si>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</si>
  <si>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 xml:space="preserve">Gains/losses on disposal of non-current assets </t>
  </si>
  <si>
    <t xml:space="preserve">Disposals of non-current assets (carrying value) </t>
  </si>
  <si>
    <t>Change in other cash clearing receivables</t>
  </si>
  <si>
    <t xml:space="preserve">Change in scope of consolidation </t>
  </si>
  <si>
    <t xml:space="preserve">Cash flow from investing activities </t>
  </si>
  <si>
    <t xml:space="preserve">Change in bank borrowings </t>
  </si>
  <si>
    <t>Change in bonds / bonded loan</t>
  </si>
  <si>
    <t xml:space="preserve">Change in liabilities from finance leases </t>
  </si>
  <si>
    <t>Change in non-controlling interest due to acquisitions</t>
  </si>
  <si>
    <t>Acquisition of own shares</t>
  </si>
  <si>
    <t xml:space="preserve">Distribution and withdrawals from partnerships </t>
  </si>
  <si>
    <t xml:space="preserve">Cash flow from financing activities </t>
  </si>
  <si>
    <t xml:space="preserve">Net change in cash and cash equivalents </t>
  </si>
  <si>
    <t xml:space="preserve">Cash and cash equivalents at the beginning of the year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</si>
  <si>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</si>
  <si>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</si>
  <si>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</si>
  <si>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</si>
  <si>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</si>
  <si>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</si>
  <si>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</si>
  <si>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</si>
  <si>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</si>
  <si>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</si>
  <si>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</si>
  <si>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</si>
  <si>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</si>
  <si>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</si>
  <si>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RANC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</si>
  <si>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</si>
  <si>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</si>
  <si>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</si>
  <si>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</si>
  <si>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</si>
  <si>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</si>
  <si>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</si>
  <si>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</si>
  <si>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</si>
  <si>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</si>
  <si>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</si>
  <si>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</si>
  <si>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</si>
  <si>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</si>
  <si>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</si>
  <si>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</si>
  <si>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</si>
  <si>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</si>
  <si>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</si>
  <si>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</si>
  <si>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</si>
  <si>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</si>
  <si>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</si>
  <si>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</si>
  <si>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</si>
  <si>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</si>
  <si>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</si>
  <si>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</si>
  <si>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</si>
  <si>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</si>
  <si>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</si>
  <si>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</si>
  <si>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</si>
  <si>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</si>
  <si>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CHECK</t>
  </si>
  <si>
    <t>EBT</t>
  </si>
  <si>
    <t>EBITDA</t>
  </si>
  <si>
    <t>* In order to reconcile the segment EBIT and EBT to the group EBIT and EBT acc. to IFRS add</t>
  </si>
  <si>
    <t>6M/2015</t>
  </si>
  <si>
    <t>% 6M/2014-6M/2015</t>
  </si>
  <si>
    <t>6M/2014</t>
  </si>
  <si>
    <t>Q2/2015</t>
  </si>
  <si>
    <t>% Q2/2014-Q2/2015</t>
  </si>
  <si>
    <t>Q2/2015: % of balance sheet total</t>
  </si>
  <si>
    <t>Gearing ratio</t>
  </si>
  <si>
    <t>Q2/2014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</si>
</sst>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0.0"/>
  </numFmts>
  <fonts count="10">
    <font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0" borderId="0"/>
  </cellStyleXfs>
  <cellXfs count="361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9" fontId="3" fillId="4" borderId="2" xfId="1" applyFont="1" applyFill="1" applyBorder="1"/>
    <xf numFmtId="4" fontId="3" fillId="4" borderId="1" xfId="0" applyNumberFormat="1" applyFont="1" applyFill="1" applyBorder="1" applyAlignment="1">
      <alignment horizontal="right" wrapText="1"/>
    </xf>
    <xf numFmtId="9" fontId="3" fillId="4" borderId="1" xfId="1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9" fontId="3" fillId="4" borderId="3" xfId="1" applyNumberFormat="1" applyFont="1" applyFill="1" applyBorder="1" applyAlignment="1">
      <alignment horizontal="right" wrapText="1"/>
    </xf>
    <xf numFmtId="9" fontId="3" fillId="3" borderId="1" xfId="1" applyFont="1" applyFill="1" applyBorder="1" applyAlignment="1">
      <alignment wrapText="1"/>
    </xf>
    <xf numFmtId="4" fontId="3" fillId="5" borderId="1" xfId="0" applyNumberFormat="1" applyFont="1" applyFill="1" applyBorder="1" applyAlignment="1">
      <alignment wrapText="1"/>
    </xf>
    <xf numFmtId="4" fontId="3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9" fontId="4" fillId="4" borderId="2" xfId="1" applyFont="1" applyFill="1" applyBorder="1"/>
    <xf numFmtId="4" fontId="4" fillId="5" borderId="1" xfId="0" applyNumberFormat="1" applyFont="1" applyFill="1" applyBorder="1" applyAlignment="1">
      <alignment wrapText="1"/>
    </xf>
    <xf numFmtId="9" fontId="4" fillId="4" borderId="1" xfId="1" applyNumberFormat="1" applyFont="1" applyFill="1" applyBorder="1" applyAlignment="1">
      <alignment horizontal="right" wrapText="1"/>
    </xf>
    <xf numFmtId="4" fontId="4" fillId="4" borderId="1" xfId="0" applyNumberFormat="1" applyFont="1" applyFill="1" applyBorder="1" applyAlignment="1">
      <alignment wrapText="1"/>
    </xf>
    <xf numFmtId="9" fontId="4" fillId="4" borderId="3" xfId="1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wrapText="1"/>
    </xf>
    <xf numFmtId="9" fontId="4" fillId="3" borderId="1" xfId="1" applyFont="1" applyFill="1" applyBorder="1" applyAlignment="1">
      <alignment wrapText="1"/>
    </xf>
    <xf numFmtId="4" fontId="3" fillId="5" borderId="1" xfId="0" applyNumberFormat="1" applyFont="1" applyFill="1" applyBorder="1" applyAlignment="1">
      <alignment horizontal="right" wrapText="1"/>
    </xf>
    <xf numFmtId="0" fontId="3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4" fontId="4" fillId="5" borderId="1" xfId="0" applyNumberFormat="1" applyFont="1" applyFill="1" applyBorder="1" applyAlignment="1">
      <alignment horizontal="right" wrapText="1"/>
    </xf>
    <xf numFmtId="4" fontId="4" fillId="4" borderId="1" xfId="0" applyNumberFormat="1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right" wrapText="1"/>
    </xf>
    <xf numFmtId="164" fontId="4" fillId="4" borderId="1" xfId="1" applyNumberFormat="1" applyFont="1" applyFill="1" applyBorder="1" applyAlignment="1">
      <alignment wrapText="1"/>
    </xf>
    <xf numFmtId="164" fontId="4" fillId="4" borderId="1" xfId="1" applyNumberFormat="1" applyFont="1" applyFill="1" applyBorder="1" applyAlignment="1">
      <alignment horizontal="right" wrapText="1"/>
    </xf>
    <xf numFmtId="164" fontId="4" fillId="3" borderId="1" xfId="1" applyNumberFormat="1" applyFont="1" applyFill="1" applyBorder="1" applyAlignment="1">
      <alignment wrapText="1"/>
    </xf>
    <xf numFmtId="2" fontId="3" fillId="4" borderId="1" xfId="0" applyNumberFormat="1" applyFont="1" applyFill="1" applyBorder="1" applyAlignment="1">
      <alignment horizontal="right" wrapText="1"/>
    </xf>
    <xf numFmtId="9" fontId="3" fillId="4" borderId="4" xfId="1" applyFont="1" applyFill="1" applyBorder="1" applyAlignment="1">
      <alignment horizontal="right" wrapText="1"/>
    </xf>
    <xf numFmtId="3" fontId="4" fillId="5" borderId="4" xfId="0" applyNumberFormat="1" applyFont="1" applyFill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4" fontId="4" fillId="5" borderId="4" xfId="0" quotePrefix="1" applyNumberFormat="1" applyFont="1" applyFill="1" applyBorder="1" applyAlignment="1">
      <alignment horizontal="right" wrapText="1"/>
    </xf>
    <xf numFmtId="4" fontId="4" fillId="4" borderId="1" xfId="0" quotePrefix="1" applyNumberFormat="1" applyFont="1" applyFill="1" applyBorder="1" applyAlignment="1">
      <alignment horizontal="right" wrapText="1"/>
    </xf>
    <xf numFmtId="9" fontId="4" fillId="4" borderId="1" xfId="1" quotePrefix="1" applyNumberFormat="1" applyFont="1" applyFill="1" applyBorder="1" applyAlignment="1">
      <alignment horizontal="right" wrapText="1"/>
    </xf>
    <xf numFmtId="9" fontId="4" fillId="4" borderId="1" xfId="1" applyFont="1" applyFill="1" applyBorder="1" applyAlignment="1">
      <alignment horizontal="right" wrapText="1"/>
    </xf>
    <xf numFmtId="164" fontId="4" fillId="5" borderId="1" xfId="1" applyNumberFormat="1" applyFont="1" applyFill="1" applyBorder="1" applyAlignment="1">
      <alignment horizontal="right" wrapText="1"/>
    </xf>
    <xf numFmtId="164" fontId="4" fillId="5" borderId="4" xfId="1" applyNumberFormat="1" applyFont="1" applyFill="1" applyBorder="1" applyAlignment="1">
      <alignment horizontal="right" wrapText="1"/>
    </xf>
    <xf numFmtId="0" fontId="4" fillId="4" borderId="4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wrapText="1"/>
    </xf>
    <xf numFmtId="0" fontId="4" fillId="4" borderId="5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" fontId="3" fillId="4" borderId="6" xfId="0" applyNumberFormat="1" applyFont="1" applyFill="1" applyBorder="1" applyAlignment="1">
      <alignment horizontal="right" wrapText="1"/>
    </xf>
    <xf numFmtId="9" fontId="3" fillId="4" borderId="8" xfId="1" applyFont="1" applyFill="1" applyBorder="1" applyAlignment="1">
      <alignment horizontal="right" wrapText="1"/>
    </xf>
    <xf numFmtId="4" fontId="3" fillId="5" borderId="6" xfId="0" applyNumberFormat="1" applyFont="1" applyFill="1" applyBorder="1" applyAlignment="1">
      <alignment horizontal="right" wrapText="1"/>
    </xf>
    <xf numFmtId="9" fontId="4" fillId="4" borderId="8" xfId="1" applyFont="1" applyFill="1" applyBorder="1" applyAlignment="1">
      <alignment horizontal="right" wrapText="1"/>
    </xf>
    <xf numFmtId="4" fontId="4" fillId="5" borderId="9" xfId="0" applyNumberFormat="1" applyFont="1" applyFill="1" applyBorder="1" applyAlignment="1">
      <alignment horizontal="right" wrapText="1"/>
    </xf>
    <xf numFmtId="4" fontId="4" fillId="4" borderId="9" xfId="0" applyNumberFormat="1" applyFont="1" applyFill="1" applyBorder="1" applyAlignment="1">
      <alignment horizontal="right" wrapText="1"/>
    </xf>
    <xf numFmtId="9" fontId="3" fillId="4" borderId="8" xfId="1" applyNumberFormat="1" applyFont="1" applyFill="1" applyBorder="1" applyAlignment="1">
      <alignment horizontal="right" wrapText="1"/>
    </xf>
    <xf numFmtId="4" fontId="3" fillId="5" borderId="9" xfId="0" applyNumberFormat="1" applyFont="1" applyFill="1" applyBorder="1" applyAlignment="1">
      <alignment horizontal="right" wrapText="1"/>
    </xf>
    <xf numFmtId="4" fontId="3" fillId="4" borderId="9" xfId="0" applyNumberFormat="1" applyFont="1" applyFill="1" applyBorder="1" applyAlignment="1">
      <alignment horizontal="right" wrapText="1"/>
    </xf>
    <xf numFmtId="9" fontId="3" fillId="4" borderId="10" xfId="1" applyFont="1" applyFill="1" applyBorder="1" applyAlignment="1">
      <alignment horizontal="right" wrapText="1"/>
    </xf>
    <xf numFmtId="9" fontId="4" fillId="4" borderId="4" xfId="1" applyFont="1" applyFill="1" applyBorder="1" applyAlignment="1">
      <alignment horizontal="right" wrapText="1"/>
    </xf>
    <xf numFmtId="0" fontId="4" fillId="4" borderId="5" xfId="0" applyFont="1" applyFill="1" applyBorder="1" applyAlignment="1">
      <alignment horizontal="right" wrapText="1"/>
    </xf>
    <xf numFmtId="0" fontId="4" fillId="4" borderId="11" xfId="0" applyFont="1" applyFill="1" applyBorder="1" applyAlignment="1">
      <alignment horizontal="right" wrapText="1"/>
    </xf>
    <xf numFmtId="4" fontId="4" fillId="5" borderId="4" xfId="0" applyNumberFormat="1" applyFont="1" applyFill="1" applyBorder="1" applyAlignment="1">
      <alignment horizontal="right" wrapText="1"/>
    </xf>
    <xf numFmtId="4" fontId="4" fillId="4" borderId="4" xfId="0" applyNumberFormat="1" applyFont="1" applyFill="1" applyBorder="1" applyAlignment="1">
      <alignment horizontal="right" wrapText="1"/>
    </xf>
    <xf numFmtId="9" fontId="4" fillId="4" borderId="1" xfId="1" applyFont="1" applyFill="1" applyBorder="1" applyAlignment="1">
      <alignment wrapText="1"/>
    </xf>
    <xf numFmtId="164" fontId="4" fillId="4" borderId="4" xfId="1" applyNumberFormat="1" applyFont="1" applyFill="1" applyBorder="1" applyAlignment="1">
      <alignment horizontal="right" wrapText="1"/>
    </xf>
    <xf numFmtId="164" fontId="4" fillId="5" borderId="1" xfId="1" quotePrefix="1" applyNumberFormat="1" applyFont="1" applyFill="1" applyBorder="1" applyAlignment="1">
      <alignment horizontal="right" wrapText="1"/>
    </xf>
    <xf numFmtId="164" fontId="4" fillId="5" borderId="4" xfId="1" quotePrefix="1" applyNumberFormat="1" applyFont="1" applyFill="1" applyBorder="1" applyAlignment="1">
      <alignment horizontal="right" wrapText="1"/>
    </xf>
    <xf numFmtId="164" fontId="4" fillId="4" borderId="4" xfId="1" quotePrefix="1" applyNumberFormat="1" applyFont="1" applyFill="1" applyBorder="1" applyAlignment="1">
      <alignment horizontal="right" wrapText="1"/>
    </xf>
    <xf numFmtId="164" fontId="4" fillId="4" borderId="1" xfId="1" quotePrefix="1" applyNumberFormat="1" applyFont="1" applyFill="1" applyBorder="1" applyAlignment="1">
      <alignment horizontal="right" wrapText="1"/>
    </xf>
    <xf numFmtId="4" fontId="4" fillId="4" borderId="4" xfId="0" quotePrefix="1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4" fontId="4" fillId="0" borderId="4" xfId="0" quotePrefix="1" applyNumberFormat="1" applyFont="1" applyFill="1" applyBorder="1" applyAlignment="1">
      <alignment horizontal="right" wrapText="1"/>
    </xf>
    <xf numFmtId="4" fontId="3" fillId="4" borderId="4" xfId="0" applyNumberFormat="1" applyFont="1" applyFill="1" applyBorder="1" applyAlignment="1">
      <alignment wrapText="1"/>
    </xf>
    <xf numFmtId="4" fontId="3" fillId="0" borderId="4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right" wrapText="1"/>
    </xf>
    <xf numFmtId="4" fontId="4" fillId="0" borderId="4" xfId="0" applyNumberFormat="1" applyFont="1" applyFill="1" applyBorder="1" applyAlignment="1">
      <alignment horizontal="right" wrapText="1"/>
    </xf>
    <xf numFmtId="4" fontId="4" fillId="0" borderId="1" xfId="0" applyNumberFormat="1" applyFont="1" applyFill="1" applyBorder="1" applyAlignment="1">
      <alignment horizontal="right" wrapText="1"/>
    </xf>
    <xf numFmtId="9" fontId="4" fillId="0" borderId="1" xfId="1" applyNumberFormat="1" applyFont="1" applyFill="1" applyBorder="1" applyAlignment="1">
      <alignment horizontal="right" wrapText="1"/>
    </xf>
    <xf numFmtId="9" fontId="3" fillId="0" borderId="1" xfId="1" applyNumberFormat="1" applyFont="1" applyFill="1" applyBorder="1" applyAlignment="1">
      <alignment horizontal="right" wrapText="1"/>
    </xf>
    <xf numFmtId="4" fontId="4" fillId="0" borderId="1" xfId="0" quotePrefix="1" applyNumberFormat="1" applyFont="1" applyFill="1" applyBorder="1" applyAlignment="1">
      <alignment horizontal="right" wrapText="1"/>
    </xf>
    <xf numFmtId="4" fontId="3" fillId="4" borderId="4" xfId="0" applyNumberFormat="1" applyFont="1" applyFill="1" applyBorder="1" applyAlignment="1">
      <alignment horizontal="right" wrapText="1"/>
    </xf>
    <xf numFmtId="2" fontId="4" fillId="5" borderId="4" xfId="0" applyNumberFormat="1" applyFont="1" applyFill="1" applyBorder="1" applyAlignment="1">
      <alignment horizontal="right" wrapText="1"/>
    </xf>
    <xf numFmtId="2" fontId="4" fillId="0" borderId="1" xfId="0" applyNumberFormat="1" applyFont="1" applyFill="1" applyBorder="1" applyAlignment="1">
      <alignment horizontal="right" wrapText="1"/>
    </xf>
    <xf numFmtId="2" fontId="4" fillId="4" borderId="4" xfId="0" applyNumberFormat="1" applyFont="1" applyFill="1" applyBorder="1" applyAlignment="1">
      <alignment horizontal="right" wrapText="1"/>
    </xf>
    <xf numFmtId="164" fontId="3" fillId="4" borderId="4" xfId="1" applyNumberFormat="1" applyFont="1" applyFill="1" applyBorder="1" applyAlignment="1">
      <alignment horizontal="right" wrapText="1"/>
    </xf>
    <xf numFmtId="164" fontId="3" fillId="4" borderId="1" xfId="1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3" fontId="4" fillId="4" borderId="2" xfId="0" applyNumberFormat="1" applyFont="1" applyFill="1" applyBorder="1"/>
    <xf numFmtId="1" fontId="4" fillId="4" borderId="2" xfId="0" applyNumberFormat="1" applyFont="1" applyFill="1" applyBorder="1"/>
    <xf numFmtId="3" fontId="4" fillId="4" borderId="12" xfId="0" applyNumberFormat="1" applyFont="1" applyFill="1" applyBorder="1"/>
    <xf numFmtId="3" fontId="4" fillId="0" borderId="1" xfId="0" applyNumberFormat="1" applyFont="1" applyBorder="1"/>
    <xf numFmtId="3" fontId="4" fillId="4" borderId="4" xfId="0" applyNumberFormat="1" applyFont="1" applyFill="1" applyBorder="1" applyAlignment="1">
      <alignment horizontal="right" wrapText="1"/>
    </xf>
    <xf numFmtId="1" fontId="4" fillId="4" borderId="4" xfId="0" applyNumberFormat="1" applyFont="1" applyFill="1" applyBorder="1" applyAlignment="1">
      <alignment horizontal="right" wrapText="1"/>
    </xf>
    <xf numFmtId="9" fontId="4" fillId="4" borderId="13" xfId="1" applyNumberFormat="1" applyFont="1" applyFill="1" applyBorder="1" applyAlignment="1">
      <alignment horizontal="right" wrapText="1"/>
    </xf>
    <xf numFmtId="9" fontId="4" fillId="4" borderId="14" xfId="1" applyNumberFormat="1" applyFont="1" applyFill="1" applyBorder="1" applyAlignment="1">
      <alignment horizontal="right" wrapText="1"/>
    </xf>
    <xf numFmtId="3" fontId="4" fillId="0" borderId="13" xfId="0" applyNumberFormat="1" applyFont="1" applyBorder="1"/>
    <xf numFmtId="3" fontId="4" fillId="4" borderId="1" xfId="0" applyNumberFormat="1" applyFont="1" applyFill="1" applyBorder="1"/>
    <xf numFmtId="1" fontId="4" fillId="4" borderId="1" xfId="0" applyNumberFormat="1" applyFont="1" applyFill="1" applyBorder="1"/>
    <xf numFmtId="3" fontId="4" fillId="4" borderId="4" xfId="0" applyNumberFormat="1" applyFont="1" applyFill="1" applyBorder="1"/>
    <xf numFmtId="1" fontId="4" fillId="4" borderId="4" xfId="0" applyNumberFormat="1" applyFont="1" applyFill="1" applyBorder="1"/>
    <xf numFmtId="3" fontId="3" fillId="4" borderId="4" xfId="0" applyNumberFormat="1" applyFont="1" applyFill="1" applyBorder="1" applyAlignment="1">
      <alignment horizontal="right" wrapText="1"/>
    </xf>
    <xf numFmtId="3" fontId="3" fillId="4" borderId="1" xfId="0" applyNumberFormat="1" applyFont="1" applyFill="1" applyBorder="1" applyAlignment="1">
      <alignment horizontal="right" wrapText="1"/>
    </xf>
    <xf numFmtId="3" fontId="3" fillId="0" borderId="15" xfId="0" applyNumberFormat="1" applyFont="1" applyBorder="1"/>
    <xf numFmtId="3" fontId="3" fillId="0" borderId="16" xfId="0" applyNumberFormat="1" applyFont="1" applyBorder="1"/>
    <xf numFmtId="3" fontId="4" fillId="5" borderId="16" xfId="0" applyNumberFormat="1" applyFont="1" applyFill="1" applyBorder="1"/>
    <xf numFmtId="3" fontId="4" fillId="0" borderId="16" xfId="0" applyNumberFormat="1" applyFont="1" applyBorder="1"/>
    <xf numFmtId="3" fontId="4" fillId="4" borderId="9" xfId="0" applyNumberFormat="1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4" fontId="4" fillId="4" borderId="2" xfId="0" applyNumberFormat="1" applyFont="1" applyFill="1" applyBorder="1"/>
    <xf numFmtId="4" fontId="4" fillId="4" borderId="1" xfId="0" applyNumberFormat="1" applyFont="1" applyFill="1" applyBorder="1"/>
    <xf numFmtId="4" fontId="4" fillId="4" borderId="4" xfId="0" applyNumberFormat="1" applyFont="1" applyFill="1" applyBorder="1"/>
    <xf numFmtId="0" fontId="3" fillId="4" borderId="1" xfId="0" applyFont="1" applyFill="1" applyBorder="1"/>
    <xf numFmtId="4" fontId="3" fillId="4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right"/>
    </xf>
    <xf numFmtId="0" fontId="3" fillId="7" borderId="1" xfId="0" applyFont="1" applyFill="1" applyBorder="1"/>
    <xf numFmtId="4" fontId="3" fillId="7" borderId="1" xfId="0" applyNumberFormat="1" applyFont="1" applyFill="1" applyBorder="1" applyAlignment="1">
      <alignment horizontal="right"/>
    </xf>
    <xf numFmtId="9" fontId="3" fillId="7" borderId="1" xfId="1" applyNumberFormat="1" applyFont="1" applyFill="1" applyBorder="1" applyAlignment="1">
      <alignment horizontal="right" wrapText="1"/>
    </xf>
    <xf numFmtId="9" fontId="3" fillId="7" borderId="1" xfId="1" applyNumberFormat="1" applyFont="1" applyFill="1" applyBorder="1" applyAlignment="1">
      <alignment horizontal="right"/>
    </xf>
    <xf numFmtId="0" fontId="3" fillId="6" borderId="1" xfId="0" applyFont="1" applyFill="1" applyBorder="1"/>
    <xf numFmtId="0" fontId="4" fillId="7" borderId="1" xfId="0" applyFont="1" applyFill="1" applyBorder="1"/>
    <xf numFmtId="164" fontId="4" fillId="7" borderId="1" xfId="1" applyNumberFormat="1" applyFont="1" applyFill="1" applyBorder="1" applyAlignment="1">
      <alignment horizontal="right"/>
    </xf>
    <xf numFmtId="9" fontId="4" fillId="7" borderId="1" xfId="1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right" wrapText="1"/>
    </xf>
    <xf numFmtId="0" fontId="4" fillId="7" borderId="1" xfId="0" applyFont="1" applyFill="1" applyBorder="1" applyAlignment="1">
      <alignment wrapText="1"/>
    </xf>
    <xf numFmtId="3" fontId="4" fillId="7" borderId="2" xfId="0" applyNumberFormat="1" applyFont="1" applyFill="1" applyBorder="1"/>
    <xf numFmtId="9" fontId="4" fillId="7" borderId="1" xfId="1" applyNumberFormat="1" applyFont="1" applyFill="1" applyBorder="1" applyAlignment="1">
      <alignment horizontal="right" wrapText="1"/>
    </xf>
    <xf numFmtId="1" fontId="4" fillId="7" borderId="2" xfId="0" applyNumberFormat="1" applyFont="1" applyFill="1" applyBorder="1"/>
    <xf numFmtId="3" fontId="4" fillId="7" borderId="12" xfId="0" applyNumberFormat="1" applyFont="1" applyFill="1" applyBorder="1"/>
    <xf numFmtId="3" fontId="4" fillId="0" borderId="12" xfId="0" applyNumberFormat="1" applyFont="1" applyBorder="1"/>
    <xf numFmtId="3" fontId="4" fillId="7" borderId="4" xfId="0" applyNumberFormat="1" applyFont="1" applyFill="1" applyBorder="1" applyAlignment="1">
      <alignment horizontal="right" wrapText="1"/>
    </xf>
    <xf numFmtId="1" fontId="4" fillId="7" borderId="4" xfId="0" applyNumberFormat="1" applyFont="1" applyFill="1" applyBorder="1" applyAlignment="1">
      <alignment horizontal="right" wrapText="1"/>
    </xf>
    <xf numFmtId="0" fontId="4" fillId="7" borderId="1" xfId="0" applyFont="1" applyFill="1" applyBorder="1" applyAlignment="1">
      <alignment horizontal="right" wrapText="1"/>
    </xf>
    <xf numFmtId="9" fontId="4" fillId="7" borderId="13" xfId="1" applyNumberFormat="1" applyFont="1" applyFill="1" applyBorder="1" applyAlignment="1">
      <alignment horizontal="right" wrapText="1"/>
    </xf>
    <xf numFmtId="3" fontId="4" fillId="7" borderId="1" xfId="0" applyNumberFormat="1" applyFont="1" applyFill="1" applyBorder="1"/>
    <xf numFmtId="1" fontId="4" fillId="7" borderId="1" xfId="0" applyNumberFormat="1" applyFont="1" applyFill="1" applyBorder="1"/>
    <xf numFmtId="3" fontId="4" fillId="7" borderId="4" xfId="0" applyNumberFormat="1" applyFont="1" applyFill="1" applyBorder="1"/>
    <xf numFmtId="1" fontId="4" fillId="7" borderId="4" xfId="0" applyNumberFormat="1" applyFont="1" applyFill="1" applyBorder="1"/>
    <xf numFmtId="3" fontId="4" fillId="7" borderId="1" xfId="0" applyNumberFormat="1" applyFont="1" applyFill="1" applyBorder="1" applyAlignment="1">
      <alignment horizontal="right" wrapText="1"/>
    </xf>
    <xf numFmtId="3" fontId="3" fillId="7" borderId="4" xfId="0" applyNumberFormat="1" applyFont="1" applyFill="1" applyBorder="1" applyAlignment="1">
      <alignment horizontal="right" wrapText="1"/>
    </xf>
    <xf numFmtId="3" fontId="3" fillId="7" borderId="1" xfId="0" applyNumberFormat="1" applyFont="1" applyFill="1" applyBorder="1" applyAlignment="1">
      <alignment horizontal="right" wrapText="1"/>
    </xf>
    <xf numFmtId="0" fontId="7" fillId="7" borderId="1" xfId="0" applyFont="1" applyFill="1" applyBorder="1" applyAlignment="1">
      <alignment wrapText="1"/>
    </xf>
    <xf numFmtId="9" fontId="7" fillId="7" borderId="4" xfId="1" applyFont="1" applyFill="1" applyBorder="1" applyAlignment="1">
      <alignment horizontal="right" wrapText="1"/>
    </xf>
    <xf numFmtId="9" fontId="7" fillId="7" borderId="1" xfId="1" applyFont="1" applyFill="1" applyBorder="1" applyAlignment="1">
      <alignment horizontal="right" wrapText="1"/>
    </xf>
    <xf numFmtId="0" fontId="8" fillId="3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4" fontId="4" fillId="7" borderId="2" xfId="0" applyNumberFormat="1" applyFont="1" applyFill="1" applyBorder="1"/>
    <xf numFmtId="9" fontId="4" fillId="7" borderId="2" xfId="1" applyFont="1" applyFill="1" applyBorder="1"/>
    <xf numFmtId="4" fontId="4" fillId="7" borderId="4" xfId="0" applyNumberFormat="1" applyFont="1" applyFill="1" applyBorder="1" applyAlignment="1">
      <alignment horizontal="right" wrapText="1"/>
    </xf>
    <xf numFmtId="4" fontId="4" fillId="7" borderId="1" xfId="0" applyNumberFormat="1" applyFont="1" applyFill="1" applyBorder="1"/>
    <xf numFmtId="4" fontId="4" fillId="7" borderId="4" xfId="0" applyNumberFormat="1" applyFont="1" applyFill="1" applyBorder="1"/>
    <xf numFmtId="4" fontId="3" fillId="7" borderId="1" xfId="0" applyNumberFormat="1" applyFont="1" applyFill="1" applyBorder="1"/>
    <xf numFmtId="4" fontId="3" fillId="7" borderId="1" xfId="0" applyNumberFormat="1" applyFont="1" applyFill="1" applyBorder="1" applyAlignment="1">
      <alignment wrapText="1"/>
    </xf>
    <xf numFmtId="4" fontId="3" fillId="7" borderId="1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0" fontId="4" fillId="8" borderId="1" xfId="0" applyFont="1" applyFill="1" applyBorder="1"/>
    <xf numFmtId="0" fontId="4" fillId="9" borderId="1" xfId="0" applyFont="1" applyFill="1" applyBorder="1" applyAlignment="1">
      <alignment horizontal="right"/>
    </xf>
    <xf numFmtId="0" fontId="3" fillId="10" borderId="1" xfId="0" applyFont="1" applyFill="1" applyBorder="1"/>
    <xf numFmtId="4" fontId="3" fillId="10" borderId="1" xfId="0" applyNumberFormat="1" applyFont="1" applyFill="1" applyBorder="1" applyAlignment="1">
      <alignment horizontal="right"/>
    </xf>
    <xf numFmtId="9" fontId="3" fillId="10" borderId="1" xfId="1" applyNumberFormat="1" applyFont="1" applyFill="1" applyBorder="1" applyAlignment="1">
      <alignment horizontal="right" wrapText="1"/>
    </xf>
    <xf numFmtId="9" fontId="3" fillId="10" borderId="1" xfId="1" applyNumberFormat="1" applyFont="1" applyFill="1" applyBorder="1" applyAlignment="1">
      <alignment horizontal="right"/>
    </xf>
    <xf numFmtId="0" fontId="3" fillId="8" borderId="1" xfId="0" applyFont="1" applyFill="1" applyBorder="1"/>
    <xf numFmtId="0" fontId="4" fillId="10" borderId="1" xfId="0" applyFont="1" applyFill="1" applyBorder="1"/>
    <xf numFmtId="164" fontId="4" fillId="10" borderId="1" xfId="1" applyNumberFormat="1" applyFont="1" applyFill="1" applyBorder="1" applyAlignment="1">
      <alignment horizontal="right"/>
    </xf>
    <xf numFmtId="9" fontId="4" fillId="10" borderId="1" xfId="1" applyNumberFormat="1" applyFont="1" applyFill="1" applyBorder="1" applyAlignment="1">
      <alignment horizontal="right"/>
    </xf>
    <xf numFmtId="0" fontId="4" fillId="10" borderId="1" xfId="0" applyFont="1" applyFill="1" applyBorder="1" applyAlignment="1">
      <alignment horizontal="right"/>
    </xf>
    <xf numFmtId="0" fontId="3" fillId="10" borderId="1" xfId="0" applyFont="1" applyFill="1" applyBorder="1" applyAlignment="1">
      <alignment horizontal="right" wrapText="1"/>
    </xf>
    <xf numFmtId="0" fontId="4" fillId="10" borderId="1" xfId="0" applyFont="1" applyFill="1" applyBorder="1" applyAlignment="1">
      <alignment wrapText="1"/>
    </xf>
    <xf numFmtId="3" fontId="4" fillId="10" borderId="2" xfId="0" applyNumberFormat="1" applyFont="1" applyFill="1" applyBorder="1"/>
    <xf numFmtId="9" fontId="4" fillId="10" borderId="1" xfId="1" applyNumberFormat="1" applyFont="1" applyFill="1" applyBorder="1" applyAlignment="1">
      <alignment horizontal="right" wrapText="1"/>
    </xf>
    <xf numFmtId="1" fontId="4" fillId="10" borderId="2" xfId="0" applyNumberFormat="1" applyFont="1" applyFill="1" applyBorder="1"/>
    <xf numFmtId="3" fontId="4" fillId="10" borderId="12" xfId="0" applyNumberFormat="1" applyFont="1" applyFill="1" applyBorder="1"/>
    <xf numFmtId="9" fontId="4" fillId="4" borderId="4" xfId="1" applyNumberFormat="1" applyFont="1" applyFill="1" applyBorder="1" applyAlignment="1">
      <alignment horizontal="right" wrapText="1"/>
    </xf>
    <xf numFmtId="3" fontId="4" fillId="10" borderId="4" xfId="0" applyNumberFormat="1" applyFont="1" applyFill="1" applyBorder="1" applyAlignment="1">
      <alignment horizontal="right" wrapText="1"/>
    </xf>
    <xf numFmtId="1" fontId="4" fillId="10" borderId="4" xfId="0" applyNumberFormat="1" applyFont="1" applyFill="1" applyBorder="1" applyAlignment="1">
      <alignment horizontal="right" wrapText="1"/>
    </xf>
    <xf numFmtId="0" fontId="4" fillId="10" borderId="1" xfId="0" applyFont="1" applyFill="1" applyBorder="1" applyAlignment="1">
      <alignment horizontal="right" wrapText="1"/>
    </xf>
    <xf numFmtId="9" fontId="4" fillId="10" borderId="13" xfId="1" applyNumberFormat="1" applyFont="1" applyFill="1" applyBorder="1" applyAlignment="1">
      <alignment horizontal="right" wrapText="1"/>
    </xf>
    <xf numFmtId="9" fontId="4" fillId="4" borderId="17" xfId="1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/>
    <xf numFmtId="1" fontId="4" fillId="10" borderId="1" xfId="0" applyNumberFormat="1" applyFont="1" applyFill="1" applyBorder="1"/>
    <xf numFmtId="3" fontId="4" fillId="10" borderId="4" xfId="0" applyNumberFormat="1" applyFont="1" applyFill="1" applyBorder="1"/>
    <xf numFmtId="1" fontId="4" fillId="10" borderId="4" xfId="0" applyNumberFormat="1" applyFont="1" applyFill="1" applyBorder="1"/>
    <xf numFmtId="3" fontId="4" fillId="10" borderId="1" xfId="0" applyNumberFormat="1" applyFont="1" applyFill="1" applyBorder="1" applyAlignment="1">
      <alignment horizontal="right" wrapText="1"/>
    </xf>
    <xf numFmtId="0" fontId="3" fillId="10" borderId="1" xfId="0" applyFont="1" applyFill="1" applyBorder="1" applyAlignment="1">
      <alignment wrapText="1"/>
    </xf>
    <xf numFmtId="3" fontId="3" fillId="10" borderId="4" xfId="0" applyNumberFormat="1" applyFont="1" applyFill="1" applyBorder="1" applyAlignment="1">
      <alignment horizontal="right" wrapText="1"/>
    </xf>
    <xf numFmtId="3" fontId="3" fillId="10" borderId="1" xfId="0" applyNumberFormat="1" applyFont="1" applyFill="1" applyBorder="1" applyAlignment="1">
      <alignment horizontal="right" wrapText="1"/>
    </xf>
    <xf numFmtId="9" fontId="3" fillId="4" borderId="4" xfId="1" applyNumberFormat="1" applyFont="1" applyFill="1" applyBorder="1" applyAlignment="1">
      <alignment horizontal="right" wrapText="1"/>
    </xf>
    <xf numFmtId="0" fontId="7" fillId="10" borderId="1" xfId="0" applyFont="1" applyFill="1" applyBorder="1" applyAlignment="1">
      <alignment wrapText="1"/>
    </xf>
    <xf numFmtId="9" fontId="7" fillId="10" borderId="4" xfId="1" applyFont="1" applyFill="1" applyBorder="1" applyAlignment="1">
      <alignment horizontal="right" wrapText="1"/>
    </xf>
    <xf numFmtId="9" fontId="7" fillId="10" borderId="1" xfId="1" applyFont="1" applyFill="1" applyBorder="1" applyAlignment="1">
      <alignment horizontal="right" wrapText="1"/>
    </xf>
    <xf numFmtId="9" fontId="7" fillId="4" borderId="4" xfId="1" applyNumberFormat="1" applyFont="1" applyFill="1" applyBorder="1" applyAlignment="1">
      <alignment horizontal="right" wrapText="1"/>
    </xf>
    <xf numFmtId="3" fontId="7" fillId="4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4" fontId="4" fillId="10" borderId="2" xfId="0" applyNumberFormat="1" applyFont="1" applyFill="1" applyBorder="1"/>
    <xf numFmtId="9" fontId="4" fillId="10" borderId="2" xfId="1" applyFont="1" applyFill="1" applyBorder="1"/>
    <xf numFmtId="4" fontId="4" fillId="10" borderId="4" xfId="0" applyNumberFormat="1" applyFont="1" applyFill="1" applyBorder="1" applyAlignment="1">
      <alignment horizontal="right" wrapText="1"/>
    </xf>
    <xf numFmtId="4" fontId="4" fillId="10" borderId="1" xfId="0" applyNumberFormat="1" applyFont="1" applyFill="1" applyBorder="1"/>
    <xf numFmtId="4" fontId="4" fillId="10" borderId="4" xfId="0" applyNumberFormat="1" applyFont="1" applyFill="1" applyBorder="1"/>
    <xf numFmtId="4" fontId="3" fillId="10" borderId="1" xfId="0" applyNumberFormat="1" applyFont="1" applyFill="1" applyBorder="1"/>
    <xf numFmtId="4" fontId="3" fillId="10" borderId="1" xfId="0" applyNumberFormat="1" applyFont="1" applyFill="1" applyBorder="1" applyAlignment="1">
      <alignment wrapText="1"/>
    </xf>
    <xf numFmtId="4" fontId="3" fillId="10" borderId="1" xfId="0" applyNumberFormat="1" applyFont="1" applyFill="1" applyBorder="1" applyAlignment="1">
      <alignment horizontal="right" wrapText="1"/>
    </xf>
    <xf numFmtId="0" fontId="4" fillId="8" borderId="1" xfId="0" applyFont="1" applyFill="1" applyBorder="1" applyAlignment="1">
      <alignment horizontal="right"/>
    </xf>
    <xf numFmtId="0" fontId="2" fillId="2" borderId="1" xfId="0" applyFont="1" applyFill="1" applyBorder="1"/>
    <xf numFmtId="0" fontId="4" fillId="9" borderId="1" xfId="0" applyFont="1" applyFill="1" applyBorder="1"/>
    <xf numFmtId="0" fontId="3" fillId="11" borderId="1" xfId="0" applyFont="1" applyFill="1" applyBorder="1"/>
    <xf numFmtId="4" fontId="3" fillId="11" borderId="1" xfId="0" applyNumberFormat="1" applyFont="1" applyFill="1" applyBorder="1" applyAlignment="1">
      <alignment horizontal="right"/>
    </xf>
    <xf numFmtId="9" fontId="3" fillId="11" borderId="1" xfId="1" applyNumberFormat="1" applyFont="1" applyFill="1" applyBorder="1" applyAlignment="1">
      <alignment horizontal="right" wrapText="1"/>
    </xf>
    <xf numFmtId="9" fontId="3" fillId="11" borderId="1" xfId="1" applyNumberFormat="1" applyFont="1" applyFill="1" applyBorder="1" applyAlignment="1">
      <alignment horizontal="right"/>
    </xf>
    <xf numFmtId="0" fontId="3" fillId="9" borderId="1" xfId="0" applyFont="1" applyFill="1" applyBorder="1"/>
    <xf numFmtId="0" fontId="4" fillId="11" borderId="1" xfId="0" applyFont="1" applyFill="1" applyBorder="1"/>
    <xf numFmtId="164" fontId="4" fillId="11" borderId="1" xfId="1" applyNumberFormat="1" applyFont="1" applyFill="1" applyBorder="1" applyAlignment="1">
      <alignment horizontal="right"/>
    </xf>
    <xf numFmtId="9" fontId="4" fillId="11" borderId="1" xfId="1" applyNumberFormat="1" applyFont="1" applyFill="1" applyBorder="1" applyAlignment="1">
      <alignment horizontal="right"/>
    </xf>
    <xf numFmtId="0" fontId="4" fillId="11" borderId="1" xfId="0" applyFont="1" applyFill="1" applyBorder="1" applyAlignment="1">
      <alignment horizontal="right"/>
    </xf>
    <xf numFmtId="0" fontId="3" fillId="11" borderId="1" xfId="0" applyFont="1" applyFill="1" applyBorder="1" applyAlignment="1">
      <alignment wrapText="1"/>
    </xf>
    <xf numFmtId="0" fontId="3" fillId="11" borderId="1" xfId="0" applyFont="1" applyFill="1" applyBorder="1" applyAlignment="1">
      <alignment horizontal="right" wrapText="1"/>
    </xf>
    <xf numFmtId="0" fontId="4" fillId="11" borderId="1" xfId="0" applyFont="1" applyFill="1" applyBorder="1" applyAlignment="1">
      <alignment wrapText="1"/>
    </xf>
    <xf numFmtId="3" fontId="4" fillId="11" borderId="2" xfId="0" applyNumberFormat="1" applyFont="1" applyFill="1" applyBorder="1"/>
    <xf numFmtId="9" fontId="4" fillId="11" borderId="1" xfId="1" applyNumberFormat="1" applyFont="1" applyFill="1" applyBorder="1" applyAlignment="1">
      <alignment horizontal="right" wrapText="1"/>
    </xf>
    <xf numFmtId="1" fontId="4" fillId="11" borderId="2" xfId="0" applyNumberFormat="1" applyFont="1" applyFill="1" applyBorder="1"/>
    <xf numFmtId="3" fontId="4" fillId="11" borderId="12" xfId="0" applyNumberFormat="1" applyFont="1" applyFill="1" applyBorder="1"/>
    <xf numFmtId="3" fontId="4" fillId="11" borderId="4" xfId="0" applyNumberFormat="1" applyFont="1" applyFill="1" applyBorder="1" applyAlignment="1">
      <alignment horizontal="right" wrapText="1"/>
    </xf>
    <xf numFmtId="1" fontId="4" fillId="11" borderId="4" xfId="0" applyNumberFormat="1" applyFont="1" applyFill="1" applyBorder="1" applyAlignment="1">
      <alignment horizontal="right" wrapText="1"/>
    </xf>
    <xf numFmtId="0" fontId="4" fillId="11" borderId="1" xfId="0" applyFont="1" applyFill="1" applyBorder="1" applyAlignment="1">
      <alignment horizontal="right" wrapText="1"/>
    </xf>
    <xf numFmtId="9" fontId="4" fillId="11" borderId="13" xfId="1" applyNumberFormat="1" applyFont="1" applyFill="1" applyBorder="1" applyAlignment="1">
      <alignment horizontal="right" wrapText="1"/>
    </xf>
    <xf numFmtId="3" fontId="4" fillId="11" borderId="1" xfId="0" applyNumberFormat="1" applyFont="1" applyFill="1" applyBorder="1"/>
    <xf numFmtId="1" fontId="4" fillId="11" borderId="1" xfId="0" applyNumberFormat="1" applyFont="1" applyFill="1" applyBorder="1"/>
    <xf numFmtId="3" fontId="4" fillId="11" borderId="4" xfId="0" applyNumberFormat="1" applyFont="1" applyFill="1" applyBorder="1"/>
    <xf numFmtId="1" fontId="4" fillId="11" borderId="4" xfId="0" applyNumberFormat="1" applyFont="1" applyFill="1" applyBorder="1"/>
    <xf numFmtId="3" fontId="4" fillId="11" borderId="1" xfId="0" applyNumberFormat="1" applyFont="1" applyFill="1" applyBorder="1" applyAlignment="1">
      <alignment horizontal="right" wrapText="1"/>
    </xf>
    <xf numFmtId="3" fontId="3" fillId="11" borderId="4" xfId="0" applyNumberFormat="1" applyFont="1" applyFill="1" applyBorder="1" applyAlignment="1">
      <alignment horizontal="right" wrapText="1"/>
    </xf>
    <xf numFmtId="3" fontId="3" fillId="11" borderId="1" xfId="0" applyNumberFormat="1" applyFont="1" applyFill="1" applyBorder="1" applyAlignment="1">
      <alignment horizontal="right" wrapText="1"/>
    </xf>
    <xf numFmtId="0" fontId="7" fillId="11" borderId="1" xfId="0" applyFont="1" applyFill="1" applyBorder="1" applyAlignment="1">
      <alignment wrapText="1"/>
    </xf>
    <xf numFmtId="9" fontId="7" fillId="11" borderId="4" xfId="1" applyFont="1" applyFill="1" applyBorder="1" applyAlignment="1">
      <alignment horizontal="right" wrapText="1"/>
    </xf>
    <xf numFmtId="9" fontId="7" fillId="11" borderId="1" xfId="1" applyFont="1" applyFill="1" applyBorder="1" applyAlignment="1">
      <alignment horizontal="right" wrapText="1"/>
    </xf>
    <xf numFmtId="4" fontId="4" fillId="11" borderId="2" xfId="0" applyNumberFormat="1" applyFont="1" applyFill="1" applyBorder="1"/>
    <xf numFmtId="9" fontId="4" fillId="11" borderId="2" xfId="1" applyFont="1" applyFill="1" applyBorder="1"/>
    <xf numFmtId="4" fontId="4" fillId="11" borderId="4" xfId="0" applyNumberFormat="1" applyFont="1" applyFill="1" applyBorder="1" applyAlignment="1">
      <alignment horizontal="right" wrapText="1"/>
    </xf>
    <xf numFmtId="4" fontId="4" fillId="11" borderId="1" xfId="0" applyNumberFormat="1" applyFont="1" applyFill="1" applyBorder="1"/>
    <xf numFmtId="4" fontId="4" fillId="11" borderId="4" xfId="0" applyNumberFormat="1" applyFont="1" applyFill="1" applyBorder="1"/>
    <xf numFmtId="4" fontId="3" fillId="11" borderId="1" xfId="0" applyNumberFormat="1" applyFont="1" applyFill="1" applyBorder="1"/>
    <xf numFmtId="4" fontId="3" fillId="11" borderId="1" xfId="0" applyNumberFormat="1" applyFont="1" applyFill="1" applyBorder="1" applyAlignment="1">
      <alignment wrapText="1"/>
    </xf>
    <xf numFmtId="4" fontId="3" fillId="11" borderId="1" xfId="0" applyNumberFormat="1" applyFont="1" applyFill="1" applyBorder="1" applyAlignment="1">
      <alignment horizontal="right" wrapText="1"/>
    </xf>
    <xf numFmtId="0" fontId="4" fillId="12" borderId="1" xfId="0" applyFont="1" applyFill="1" applyBorder="1"/>
    <xf numFmtId="0" fontId="4" fillId="12" borderId="1" xfId="0" applyFont="1" applyFill="1" applyBorder="1" applyAlignment="1">
      <alignment horizontal="right"/>
    </xf>
    <xf numFmtId="0" fontId="3" fillId="13" borderId="1" xfId="0" applyFont="1" applyFill="1" applyBorder="1"/>
    <xf numFmtId="4" fontId="3" fillId="13" borderId="1" xfId="0" applyNumberFormat="1" applyFont="1" applyFill="1" applyBorder="1" applyAlignment="1">
      <alignment horizontal="right"/>
    </xf>
    <xf numFmtId="9" fontId="3" fillId="13" borderId="1" xfId="1" applyNumberFormat="1" applyFont="1" applyFill="1" applyBorder="1" applyAlignment="1">
      <alignment horizontal="right" wrapText="1"/>
    </xf>
    <xf numFmtId="9" fontId="3" fillId="13" borderId="1" xfId="1" applyNumberFormat="1" applyFont="1" applyFill="1" applyBorder="1" applyAlignment="1">
      <alignment horizontal="right"/>
    </xf>
    <xf numFmtId="0" fontId="3" fillId="8" borderId="4" xfId="0" applyFont="1" applyFill="1" applyBorder="1"/>
    <xf numFmtId="9" fontId="3" fillId="8" borderId="1" xfId="1" applyFont="1" applyFill="1" applyBorder="1"/>
    <xf numFmtId="0" fontId="4" fillId="13" borderId="1" xfId="0" applyFont="1" applyFill="1" applyBorder="1"/>
    <xf numFmtId="164" fontId="4" fillId="13" borderId="1" xfId="1" applyNumberFormat="1" applyFont="1" applyFill="1" applyBorder="1" applyAlignment="1">
      <alignment horizontal="right"/>
    </xf>
    <xf numFmtId="9" fontId="4" fillId="13" borderId="1" xfId="1" applyNumberFormat="1" applyFont="1" applyFill="1" applyBorder="1" applyAlignment="1">
      <alignment horizontal="right"/>
    </xf>
    <xf numFmtId="0" fontId="4" fillId="8" borderId="4" xfId="0" applyFont="1" applyFill="1" applyBorder="1"/>
    <xf numFmtId="9" fontId="4" fillId="13" borderId="1" xfId="1" applyNumberFormat="1" applyFont="1" applyFill="1" applyBorder="1" applyAlignment="1">
      <alignment horizontal="right" wrapText="1"/>
    </xf>
    <xf numFmtId="2" fontId="4" fillId="13" borderId="1" xfId="0" applyNumberFormat="1" applyFont="1" applyFill="1" applyBorder="1" applyAlignment="1">
      <alignment horizontal="right" vertical="center" wrapText="1"/>
    </xf>
    <xf numFmtId="9" fontId="4" fillId="13" borderId="13" xfId="1" applyNumberFormat="1" applyFont="1" applyFill="1" applyBorder="1" applyAlignment="1">
      <alignment horizontal="right" vertical="center"/>
    </xf>
    <xf numFmtId="2" fontId="4" fillId="13" borderId="13" xfId="0" applyNumberFormat="1" applyFont="1" applyFill="1" applyBorder="1" applyAlignment="1">
      <alignment horizontal="right" vertical="center" wrapText="1"/>
    </xf>
    <xf numFmtId="0" fontId="7" fillId="8" borderId="4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164" fontId="4" fillId="13" borderId="3" xfId="1" applyNumberFormat="1" applyFont="1" applyFill="1" applyBorder="1" applyAlignment="1">
      <alignment horizontal="right"/>
    </xf>
    <xf numFmtId="164" fontId="4" fillId="13" borderId="18" xfId="1" applyNumberFormat="1" applyFont="1" applyFill="1" applyBorder="1" applyAlignment="1">
      <alignment horizontal="right"/>
    </xf>
    <xf numFmtId="0" fontId="4" fillId="13" borderId="1" xfId="0" applyFont="1" applyFill="1" applyBorder="1" applyAlignment="1">
      <alignment horizontal="right"/>
    </xf>
    <xf numFmtId="0" fontId="4" fillId="13" borderId="5" xfId="0" applyFont="1" applyFill="1" applyBorder="1" applyAlignment="1">
      <alignment horizontal="right"/>
    </xf>
    <xf numFmtId="0" fontId="3" fillId="13" borderId="1" xfId="0" applyFont="1" applyFill="1" applyBorder="1" applyAlignment="1">
      <alignment horizontal="right" wrapText="1"/>
    </xf>
    <xf numFmtId="0" fontId="4" fillId="13" borderId="1" xfId="0" applyFont="1" applyFill="1" applyBorder="1" applyAlignment="1">
      <alignment wrapText="1"/>
    </xf>
    <xf numFmtId="3" fontId="4" fillId="13" borderId="2" xfId="0" applyNumberFormat="1" applyFont="1" applyFill="1" applyBorder="1"/>
    <xf numFmtId="1" fontId="4" fillId="13" borderId="2" xfId="0" applyNumberFormat="1" applyFont="1" applyFill="1" applyBorder="1"/>
    <xf numFmtId="3" fontId="4" fillId="13" borderId="12" xfId="0" applyNumberFormat="1" applyFont="1" applyFill="1" applyBorder="1"/>
    <xf numFmtId="3" fontId="4" fillId="13" borderId="4" xfId="0" applyNumberFormat="1" applyFont="1" applyFill="1" applyBorder="1" applyAlignment="1">
      <alignment horizontal="right" wrapText="1"/>
    </xf>
    <xf numFmtId="1" fontId="4" fillId="13" borderId="4" xfId="0" applyNumberFormat="1" applyFont="1" applyFill="1" applyBorder="1" applyAlignment="1">
      <alignment horizontal="right" wrapText="1"/>
    </xf>
    <xf numFmtId="0" fontId="4" fillId="13" borderId="1" xfId="0" applyFont="1" applyFill="1" applyBorder="1" applyAlignment="1">
      <alignment horizontal="right" wrapText="1"/>
    </xf>
    <xf numFmtId="9" fontId="4" fillId="13" borderId="13" xfId="1" applyNumberFormat="1" applyFont="1" applyFill="1" applyBorder="1" applyAlignment="1">
      <alignment horizontal="right" wrapText="1"/>
    </xf>
    <xf numFmtId="3" fontId="4" fillId="13" borderId="1" xfId="0" applyNumberFormat="1" applyFont="1" applyFill="1" applyBorder="1"/>
    <xf numFmtId="1" fontId="4" fillId="13" borderId="1" xfId="0" applyNumberFormat="1" applyFont="1" applyFill="1" applyBorder="1"/>
    <xf numFmtId="3" fontId="4" fillId="13" borderId="4" xfId="0" applyNumberFormat="1" applyFont="1" applyFill="1" applyBorder="1"/>
    <xf numFmtId="1" fontId="4" fillId="13" borderId="4" xfId="0" applyNumberFormat="1" applyFont="1" applyFill="1" applyBorder="1"/>
    <xf numFmtId="3" fontId="4" fillId="13" borderId="1" xfId="0" applyNumberFormat="1" applyFont="1" applyFill="1" applyBorder="1" applyAlignment="1">
      <alignment horizontal="right" wrapText="1"/>
    </xf>
    <xf numFmtId="0" fontId="3" fillId="13" borderId="1" xfId="0" applyFont="1" applyFill="1" applyBorder="1" applyAlignment="1">
      <alignment wrapText="1"/>
    </xf>
    <xf numFmtId="3" fontId="3" fillId="13" borderId="4" xfId="0" applyNumberFormat="1" applyFont="1" applyFill="1" applyBorder="1" applyAlignment="1">
      <alignment horizontal="right" wrapText="1"/>
    </xf>
    <xf numFmtId="3" fontId="3" fillId="13" borderId="1" xfId="0" applyNumberFormat="1" applyFont="1" applyFill="1" applyBorder="1" applyAlignment="1">
      <alignment horizontal="right" wrapText="1"/>
    </xf>
    <xf numFmtId="0" fontId="7" fillId="13" borderId="1" xfId="0" applyFont="1" applyFill="1" applyBorder="1" applyAlignment="1">
      <alignment wrapText="1"/>
    </xf>
    <xf numFmtId="9" fontId="7" fillId="13" borderId="4" xfId="1" applyFont="1" applyFill="1" applyBorder="1" applyAlignment="1">
      <alignment horizontal="right" wrapText="1"/>
    </xf>
    <xf numFmtId="9" fontId="7" fillId="13" borderId="1" xfId="1" applyFont="1" applyFill="1" applyBorder="1" applyAlignment="1">
      <alignment horizontal="right" wrapText="1"/>
    </xf>
    <xf numFmtId="9" fontId="7" fillId="4" borderId="3" xfId="1" applyNumberFormat="1" applyFont="1" applyFill="1" applyBorder="1" applyAlignment="1">
      <alignment horizontal="right" wrapText="1"/>
    </xf>
    <xf numFmtId="4" fontId="4" fillId="13" borderId="2" xfId="0" applyNumberFormat="1" applyFont="1" applyFill="1" applyBorder="1"/>
    <xf numFmtId="4" fontId="4" fillId="13" borderId="4" xfId="0" applyNumberFormat="1" applyFont="1" applyFill="1" applyBorder="1" applyAlignment="1">
      <alignment horizontal="right" wrapText="1"/>
    </xf>
    <xf numFmtId="4" fontId="4" fillId="13" borderId="1" xfId="0" applyNumberFormat="1" applyFont="1" applyFill="1" applyBorder="1"/>
    <xf numFmtId="4" fontId="4" fillId="13" borderId="4" xfId="0" applyNumberFormat="1" applyFont="1" applyFill="1" applyBorder="1"/>
    <xf numFmtId="4" fontId="3" fillId="13" borderId="1" xfId="0" applyNumberFormat="1" applyFont="1" applyFill="1" applyBorder="1"/>
    <xf numFmtId="4" fontId="3" fillId="13" borderId="1" xfId="0" applyNumberFormat="1" applyFont="1" applyFill="1" applyBorder="1" applyAlignment="1">
      <alignment wrapText="1"/>
    </xf>
    <xf numFmtId="4" fontId="3" fillId="13" borderId="1" xfId="0" applyNumberFormat="1" applyFont="1" applyFill="1" applyBorder="1" applyAlignment="1">
      <alignment horizontal="right" wrapText="1"/>
    </xf>
    <xf numFmtId="9" fontId="3" fillId="7" borderId="2" xfId="1" applyFont="1" applyFill="1" applyBorder="1"/>
    <xf numFmtId="9" fontId="3" fillId="10" borderId="2" xfId="1" applyFont="1" applyFill="1" applyBorder="1"/>
    <xf numFmtId="9" fontId="3" fillId="11" borderId="2" xfId="1" applyFont="1" applyFill="1" applyBorder="1"/>
    <xf numFmtId="9" fontId="4" fillId="13" borderId="2" xfId="1" applyFont="1" applyFill="1" applyBorder="1"/>
    <xf numFmtId="9" fontId="3" fillId="13" borderId="2" xfId="1" applyFont="1" applyFill="1" applyBorder="1"/>
    <xf numFmtId="2" fontId="4" fillId="7" borderId="2" xfId="0" applyNumberFormat="1" applyFont="1" applyFill="1" applyBorder="1"/>
    <xf numFmtId="2" fontId="4" fillId="7" borderId="4" xfId="0" applyNumberFormat="1" applyFont="1" applyFill="1" applyBorder="1" applyAlignment="1">
      <alignment horizontal="right" wrapText="1"/>
    </xf>
    <xf numFmtId="2" fontId="4" fillId="7" borderId="1" xfId="0" applyNumberFormat="1" applyFont="1" applyFill="1" applyBorder="1"/>
    <xf numFmtId="9" fontId="4" fillId="4" borderId="12" xfId="1" applyNumberFormat="1" applyFont="1" applyFill="1" applyBorder="1"/>
    <xf numFmtId="9" fontId="4" fillId="5" borderId="1" xfId="1" applyNumberFormat="1" applyFont="1" applyFill="1" applyBorder="1" applyAlignment="1">
      <alignment horizontal="right" wrapText="1"/>
    </xf>
    <xf numFmtId="9" fontId="4" fillId="4" borderId="12" xfId="1" applyFont="1" applyFill="1" applyBorder="1"/>
    <xf numFmtId="4" fontId="4" fillId="4" borderId="12" xfId="0" applyNumberFormat="1" applyFont="1" applyFill="1" applyBorder="1"/>
    <xf numFmtId="0" fontId="4" fillId="5" borderId="1" xfId="0" applyFont="1" applyFill="1" applyBorder="1" applyAlignment="1">
      <alignment horizontal="right" wrapText="1"/>
    </xf>
    <xf numFmtId="9" fontId="4" fillId="4" borderId="2" xfId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wrapText="1"/>
    </xf>
    <xf numFmtId="9" fontId="4" fillId="5" borderId="2" xfId="1" applyFont="1" applyFill="1" applyBorder="1" applyAlignment="1">
      <alignment horizontal="right"/>
    </xf>
    <xf numFmtId="0" fontId="5" fillId="5" borderId="11" xfId="0" applyFont="1" applyFill="1" applyBorder="1" applyAlignment="1">
      <alignment wrapText="1"/>
    </xf>
    <xf numFmtId="9" fontId="3" fillId="8" borderId="4" xfId="1" applyNumberFormat="1" applyFont="1" applyFill="1" applyBorder="1"/>
    <xf numFmtId="4" fontId="4" fillId="3" borderId="1" xfId="0" applyNumberFormat="1" applyFont="1" applyFill="1" applyBorder="1" applyAlignment="1">
      <alignment wrapText="1"/>
    </xf>
    <xf numFmtId="4" fontId="4" fillId="4" borderId="17" xfId="0" applyNumberFormat="1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wrapText="1"/>
    </xf>
    <xf numFmtId="9" fontId="4" fillId="4" borderId="20" xfId="1" applyFont="1" applyFill="1" applyBorder="1"/>
    <xf numFmtId="9" fontId="3" fillId="4" borderId="1" xfId="1" applyFont="1" applyFill="1" applyBorder="1"/>
    <xf numFmtId="4" fontId="4" fillId="7" borderId="17" xfId="0" applyNumberFormat="1" applyFont="1" applyFill="1" applyBorder="1" applyAlignment="1">
      <alignment horizontal="right" wrapText="1"/>
    </xf>
    <xf numFmtId="4" fontId="4" fillId="7" borderId="1" xfId="0" applyNumberFormat="1" applyFont="1" applyFill="1" applyBorder="1" applyAlignment="1">
      <alignment horizontal="right" wrapText="1"/>
    </xf>
    <xf numFmtId="9" fontId="4" fillId="7" borderId="13" xfId="1" applyFont="1" applyFill="1" applyBorder="1"/>
    <xf numFmtId="9" fontId="3" fillId="7" borderId="21" xfId="1" applyFont="1" applyFill="1" applyBorder="1"/>
    <xf numFmtId="4" fontId="4" fillId="11" borderId="17" xfId="0" applyNumberFormat="1" applyFont="1" applyFill="1" applyBorder="1" applyAlignment="1">
      <alignment horizontal="right" wrapText="1"/>
    </xf>
    <xf numFmtId="4" fontId="4" fillId="11" borderId="1" xfId="0" applyNumberFormat="1" applyFont="1" applyFill="1" applyBorder="1" applyAlignment="1">
      <alignment horizontal="right" wrapText="1"/>
    </xf>
    <xf numFmtId="9" fontId="4" fillId="11" borderId="1" xfId="1" applyFont="1" applyFill="1" applyBorder="1"/>
    <xf numFmtId="9" fontId="3" fillId="11" borderId="1" xfId="1" applyFont="1" applyFill="1" applyBorder="1"/>
    <xf numFmtId="4" fontId="4" fillId="10" borderId="17" xfId="0" applyNumberFormat="1" applyFont="1" applyFill="1" applyBorder="1" applyAlignment="1">
      <alignment horizontal="right" wrapText="1"/>
    </xf>
    <xf numFmtId="4" fontId="4" fillId="10" borderId="1" xfId="0" applyNumberFormat="1" applyFont="1" applyFill="1" applyBorder="1" applyAlignment="1">
      <alignment horizontal="right" wrapText="1"/>
    </xf>
    <xf numFmtId="9" fontId="4" fillId="10" borderId="1" xfId="1" applyFont="1" applyFill="1" applyBorder="1"/>
    <xf numFmtId="9" fontId="3" fillId="10" borderId="1" xfId="1" applyFont="1" applyFill="1" applyBorder="1"/>
    <xf numFmtId="4" fontId="4" fillId="13" borderId="1" xfId="0" applyNumberFormat="1" applyFont="1" applyFill="1" applyBorder="1" applyAlignment="1">
      <alignment horizontal="right" wrapText="1"/>
    </xf>
    <xf numFmtId="9" fontId="4" fillId="13" borderId="1" xfId="1" applyFont="1" applyFill="1" applyBorder="1"/>
    <xf numFmtId="9" fontId="3" fillId="13" borderId="1" xfId="1" applyFont="1" applyFill="1" applyBorder="1"/>
    <xf numFmtId="9" fontId="3" fillId="5" borderId="1" xfId="1" applyNumberFormat="1" applyFont="1" applyFill="1" applyBorder="1" applyAlignment="1">
      <alignment horizontal="right" wrapText="1"/>
    </xf>
    <xf numFmtId="9" fontId="4" fillId="4" borderId="1" xfId="1" quotePrefix="1" applyFont="1" applyFill="1" applyBorder="1" applyAlignment="1">
      <alignment horizontal="right" wrapText="1"/>
    </xf>
    <xf numFmtId="4" fontId="3" fillId="5" borderId="4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right" wrapText="1"/>
    </xf>
    <xf numFmtId="164" fontId="3" fillId="5" borderId="4" xfId="1" applyNumberFormat="1" applyFont="1" applyFill="1" applyBorder="1" applyAlignment="1">
      <alignment horizontal="right" wrapText="1"/>
    </xf>
    <xf numFmtId="164" fontId="3" fillId="5" borderId="1" xfId="1" applyNumberFormat="1" applyFont="1" applyFill="1" applyBorder="1" applyAlignment="1">
      <alignment horizontal="right" wrapText="1"/>
    </xf>
    <xf numFmtId="4" fontId="3" fillId="4" borderId="11" xfId="0" applyNumberFormat="1" applyFont="1" applyFill="1" applyBorder="1" applyAlignment="1">
      <alignment horizontal="right" wrapText="1"/>
    </xf>
    <xf numFmtId="9" fontId="4" fillId="10" borderId="2" xfId="1" applyFont="1" applyFill="1" applyBorder="1" applyAlignment="1">
      <alignment horizontal="right"/>
    </xf>
    <xf numFmtId="3" fontId="4" fillId="5" borderId="2" xfId="0" applyNumberFormat="1" applyFont="1" applyFill="1" applyBorder="1"/>
    <xf numFmtId="4" fontId="4" fillId="5" borderId="1" xfId="0" quotePrefix="1" applyNumberFormat="1" applyFont="1" applyFill="1" applyBorder="1" applyAlignment="1">
      <alignment horizontal="right" wrapText="1"/>
    </xf>
    <xf numFmtId="9" fontId="4" fillId="5" borderId="1" xfId="1" quotePrefix="1" applyNumberFormat="1" applyFont="1" applyFill="1" applyBorder="1" applyAlignment="1">
      <alignment horizontal="right" wrapText="1"/>
    </xf>
    <xf numFmtId="2" fontId="4" fillId="5" borderId="1" xfId="0" applyNumberFormat="1" applyFont="1" applyFill="1" applyBorder="1" applyAlignment="1">
      <alignment horizontal="right" wrapText="1"/>
    </xf>
    <xf numFmtId="9" fontId="4" fillId="5" borderId="4" xfId="1" applyFont="1" applyFill="1" applyBorder="1" applyAlignment="1">
      <alignment horizontal="right" wrapText="1"/>
    </xf>
    <xf numFmtId="9" fontId="3" fillId="4" borderId="22" xfId="1" applyFont="1" applyFill="1" applyBorder="1"/>
    <xf numFmtId="9" fontId="4" fillId="5" borderId="9" xfId="1" applyFont="1" applyFill="1" applyBorder="1" applyAlignment="1">
      <alignment horizontal="right" wrapText="1"/>
    </xf>
    <xf numFmtId="0" fontId="5" fillId="4" borderId="1" xfId="0" applyFont="1" applyFill="1" applyBorder="1" applyAlignment="1">
      <alignment wrapText="1"/>
    </xf>
    <xf numFmtId="9" fontId="3" fillId="4" borderId="1" xfId="1" applyFont="1" applyFill="1" applyBorder="1" applyAlignment="1">
      <alignment horizontal="right" wrapText="1"/>
    </xf>
    <xf numFmtId="3" fontId="4" fillId="0" borderId="16" xfId="6" applyNumberFormat="1" applyFont="1" applyBorder="1"/>
    <xf numFmtId="4" fontId="4" fillId="13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right" wrapText="1"/>
    </xf>
    <xf numFmtId="0" fontId="4" fillId="4" borderId="13" xfId="0" applyFont="1" applyFill="1" applyBorder="1" applyAlignment="1">
      <alignment horizontal="right" wrapText="1"/>
    </xf>
    <xf numFmtId="0" fontId="5" fillId="4" borderId="23" xfId="0" applyFont="1" applyFill="1" applyBorder="1" applyAlignment="1">
      <alignment wrapText="1"/>
    </xf>
    <xf numFmtId="165" fontId="4" fillId="13" borderId="19" xfId="1" applyNumberFormat="1" applyFont="1" applyFill="1" applyBorder="1" applyAlignment="1">
      <alignment horizontal="right"/>
    </xf>
    <xf numFmtId="2" fontId="3" fillId="5" borderId="1" xfId="0" applyNumberFormat="1" applyFont="1" applyFill="1" applyBorder="1" applyAlignment="1">
      <alignment horizontal="right" wrapText="1"/>
    </xf>
    <xf numFmtId="0" fontId="7" fillId="13" borderId="13" xfId="0" applyFont="1" applyFill="1" applyBorder="1" applyAlignment="1">
      <alignment horizontal="left" vertical="center" wrapText="1"/>
    </xf>
    <xf numFmtId="0" fontId="7" fillId="13" borderId="5" xfId="0" applyFont="1" applyFill="1" applyBorder="1" applyAlignment="1">
      <alignment horizontal="left" vertical="center" wrapText="1"/>
    </xf>
  </cellXfs>
  <cellStyles count="7">
    <cellStyle name="Komma 2" xfId="2"/>
    <cellStyle name="Prozent" xfId="1" builtinId="5"/>
    <cellStyle name="Prozent 2" xfId="3"/>
    <cellStyle name="Prozent 3" xfId="4"/>
    <cellStyle name="Standard" xfId="0" builtinId="0"/>
    <cellStyle name="Standard 2" xfId="5"/>
    <cellStyle name="Standard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8"/>
  <sheetViews>
    <sheetView tabSelected="1" view="pageBreakPreview" zoomScaleNormal="100" zoomScaleSheetLayoutView="100" workbookViewId="0">
      <pane xSplit="1" ySplit="1" topLeftCell="E2" activePane="bottomRight" state="frozen"/>
      <selection activeCell="D107" sqref="D107"/>
      <selection pane="topRight" activeCell="D107" sqref="D107"/>
      <selection pane="bottomLeft" activeCell="D107" sqref="D107"/>
      <selection pane="bottomRight" activeCell="A22" sqref="A22"/>
    </sheetView>
  </sheetViews>
  <sheetFormatPr baseColWidth="10" defaultColWidth="22.44140625" defaultRowHeight="10.199999999999999"/>
  <cols>
    <col min="1" max="1" width="22.44140625" style="13" customWidth="1"/>
    <col min="2" max="14" width="10.88671875" style="42" customWidth="1"/>
    <col min="15" max="21" width="22.44140625" style="19" customWidth="1"/>
    <col min="22" max="16384" width="22.44140625" style="13"/>
  </cols>
  <sheetData>
    <row r="1" spans="1:21" s="2" customFormat="1" ht="24.75" customHeight="1">
      <c r="A1" s="1" t="s">
        <v>0</v>
      </c>
      <c r="B1" s="2" t="s">
        <v>152</v>
      </c>
      <c r="C1" s="2" t="s">
        <v>153</v>
      </c>
      <c r="D1" s="2" t="s">
        <v>156</v>
      </c>
      <c r="E1" s="2" t="s">
        <v>149</v>
      </c>
      <c r="F1" s="2" t="s">
        <v>150</v>
      </c>
      <c r="G1" s="2" t="s">
        <v>151</v>
      </c>
      <c r="H1" s="2">
        <v>2014</v>
      </c>
      <c r="I1" s="2" t="s">
        <v>1</v>
      </c>
      <c r="J1" s="2">
        <v>2013</v>
      </c>
      <c r="K1" s="2" t="s">
        <v>2</v>
      </c>
      <c r="L1" s="2">
        <v>2012</v>
      </c>
      <c r="M1" s="2" t="s">
        <v>3</v>
      </c>
      <c r="N1" s="2">
        <v>2011</v>
      </c>
      <c r="O1" s="3"/>
      <c r="P1" s="3"/>
      <c r="Q1" s="3"/>
      <c r="R1" s="3"/>
      <c r="S1" s="3"/>
      <c r="T1" s="3"/>
      <c r="U1" s="3"/>
    </row>
    <row r="2" spans="1:21" s="4" customFormat="1">
      <c r="A2" s="4" t="s">
        <v>4</v>
      </c>
      <c r="B2" s="21">
        <v>3736.33</v>
      </c>
      <c r="C2" s="335">
        <f>IF((+B2/D2)&lt;0,"n.m.",IF(B2&lt;0,(+B2/D2-1)*-1,(+B2/D2-1)))</f>
        <v>8.7467001958781099E-2</v>
      </c>
      <c r="D2" s="21">
        <v>3435.8100000000004</v>
      </c>
      <c r="E2" s="6">
        <f>E185</f>
        <v>6204.6699999999992</v>
      </c>
      <c r="F2" s="335">
        <f>IF((+E2/G2)&lt;0,"n.m.",IF(E2&lt;0,(+E2/G2-1)*-1,(+E2/G2-1)))</f>
        <v>7.3555899680771031E-2</v>
      </c>
      <c r="G2" s="6">
        <f>G185</f>
        <v>5779.5499999999993</v>
      </c>
      <c r="H2" s="21">
        <f>H185</f>
        <v>13566</v>
      </c>
      <c r="I2" s="5">
        <f>IF((+H2/J2)&lt;0,"n.m.",IF(H2&lt;0,(+H2/J2-1)*-1,(+H2/J2-1)))</f>
        <v>-5.2088436882724576E-4</v>
      </c>
      <c r="J2" s="6">
        <v>13573.069999999998</v>
      </c>
      <c r="K2" s="7">
        <f>(J2-L2)/L2</f>
        <v>-3.3436115819008176E-2</v>
      </c>
      <c r="L2" s="6">
        <v>14042.600000000002</v>
      </c>
      <c r="M2" s="7">
        <v>-1.9771950704495715E-2</v>
      </c>
      <c r="N2" s="6">
        <v>14325.850000000002</v>
      </c>
      <c r="O2" s="8"/>
      <c r="P2" s="8"/>
      <c r="Q2" s="8"/>
      <c r="R2" s="8"/>
      <c r="S2" s="8"/>
      <c r="T2" s="8"/>
      <c r="U2" s="8"/>
    </row>
    <row r="3" spans="1:21" s="4" customFormat="1">
      <c r="A3" s="4" t="s">
        <v>5</v>
      </c>
      <c r="B3" s="6"/>
      <c r="C3" s="335"/>
      <c r="D3" s="6"/>
      <c r="E3" s="6">
        <f>E215</f>
        <v>14841.430000000002</v>
      </c>
      <c r="F3" s="335">
        <f t="shared" ref="F3:F22" si="0">IF((+E3/G3)&lt;0,"n.m.",IF(E3&lt;0,(+E3/G3-1)*-1,(+E3/G3-1)))</f>
        <v>-4.0537273216243452E-2</v>
      </c>
      <c r="G3" s="6">
        <f>G215</f>
        <v>15468.48</v>
      </c>
      <c r="H3" s="21">
        <f>H215</f>
        <v>14403.440000000002</v>
      </c>
      <c r="I3" s="5">
        <f t="shared" ref="I3:I28" si="1">IF((+H3/J3)&lt;0,"n.m.",IF(H3&lt;0,(+H3/J3-1)*-1,(+H3/J3-1)))</f>
        <v>6.9323101959363864E-2</v>
      </c>
      <c r="J3" s="6">
        <v>13469.679999999998</v>
      </c>
      <c r="K3" s="7">
        <f>(J3-L3)/L3</f>
        <v>2.0224712292825735E-2</v>
      </c>
      <c r="L3" s="6">
        <v>13202.66</v>
      </c>
      <c r="M3" s="7">
        <v>-1.1332933952373831E-2</v>
      </c>
      <c r="N3" s="6">
        <v>13354</v>
      </c>
      <c r="O3" s="10"/>
      <c r="P3" s="8"/>
      <c r="Q3" s="8"/>
      <c r="R3" s="8"/>
      <c r="S3" s="8"/>
      <c r="T3" s="8"/>
      <c r="U3" s="8"/>
    </row>
    <row r="4" spans="1:21" s="4" customFormat="1">
      <c r="A4" s="4" t="s">
        <v>6</v>
      </c>
      <c r="B4" s="11">
        <v>3461.51</v>
      </c>
      <c r="C4" s="335">
        <f t="shared" ref="C4:C31" si="2">IF((+B4/D4)&lt;0,"n.m.",IF(B4&lt;0,(+B4/D4-1)*-1,(+B4/D4-1)))</f>
        <v>8.5118295264176913E-2</v>
      </c>
      <c r="D4" s="11">
        <v>3189.9839999999999</v>
      </c>
      <c r="E4" s="11">
        <v>5745.4690000000001</v>
      </c>
      <c r="F4" s="335">
        <f t="shared" si="0"/>
        <v>7.3128333056901473E-2</v>
      </c>
      <c r="G4" s="11">
        <v>5353.9440000000004</v>
      </c>
      <c r="H4" s="11">
        <v>12475.673000000001</v>
      </c>
      <c r="I4" s="5">
        <f t="shared" si="1"/>
        <v>6.5773761690191002E-3</v>
      </c>
      <c r="J4" s="11">
        <v>12394.152</v>
      </c>
      <c r="K4" s="7">
        <f>(J4-L4)/L4</f>
        <v>-4.5372443057903999E-2</v>
      </c>
      <c r="L4" s="12">
        <v>12983.233</v>
      </c>
      <c r="M4" s="7">
        <v>-5.3272673285982494E-2</v>
      </c>
      <c r="N4" s="12">
        <v>13713.804</v>
      </c>
      <c r="O4" s="8"/>
      <c r="P4" s="8"/>
      <c r="Q4" s="8"/>
      <c r="R4" s="8"/>
      <c r="S4" s="8"/>
      <c r="T4" s="8"/>
      <c r="U4" s="8"/>
    </row>
    <row r="5" spans="1:21">
      <c r="A5" s="13" t="s">
        <v>7</v>
      </c>
      <c r="B5" s="15">
        <v>11.102</v>
      </c>
      <c r="C5" s="306">
        <f t="shared" si="2"/>
        <v>-0.46783625730994149</v>
      </c>
      <c r="D5" s="15">
        <v>20.861999999999998</v>
      </c>
      <c r="E5" s="15">
        <v>-18.369</v>
      </c>
      <c r="F5" s="306" t="str">
        <f t="shared" si="0"/>
        <v>n.m.</v>
      </c>
      <c r="G5" s="15">
        <v>29.231000000000002</v>
      </c>
      <c r="H5" s="15">
        <v>-34.43</v>
      </c>
      <c r="I5" s="310" t="str">
        <f t="shared" si="1"/>
        <v>n.m.</v>
      </c>
      <c r="J5" s="15">
        <v>40.090000000000003</v>
      </c>
      <c r="K5" s="16">
        <f t="shared" ref="K5:K33" si="3">(J5-L5)/L5</f>
        <v>-0.2043740573152337</v>
      </c>
      <c r="L5" s="17">
        <v>50.387999999999998</v>
      </c>
      <c r="M5" s="16">
        <f t="shared" ref="M5:M33" si="4">(L5-N5)/N5</f>
        <v>-0.48248343860730242</v>
      </c>
      <c r="N5" s="17">
        <v>97.364999999999995</v>
      </c>
    </row>
    <row r="6" spans="1:21">
      <c r="A6" s="13" t="s">
        <v>8</v>
      </c>
      <c r="B6" s="15">
        <v>5.3999999999999999E-2</v>
      </c>
      <c r="C6" s="306">
        <f t="shared" si="2"/>
        <v>-0.97229348383786562</v>
      </c>
      <c r="D6" s="15">
        <v>1.9490000000000001</v>
      </c>
      <c r="E6" s="15">
        <v>1.9910000000000001</v>
      </c>
      <c r="F6" s="306">
        <f t="shared" si="0"/>
        <v>-0.64446428571428571</v>
      </c>
      <c r="G6" s="15">
        <v>5.6</v>
      </c>
      <c r="H6" s="15">
        <v>8.77</v>
      </c>
      <c r="I6" s="14">
        <f t="shared" si="1"/>
        <v>2.6694560669456062</v>
      </c>
      <c r="J6" s="15">
        <v>2.39</v>
      </c>
      <c r="K6" s="16">
        <f t="shared" si="3"/>
        <v>-0.33109431849986004</v>
      </c>
      <c r="L6" s="17">
        <v>3.573</v>
      </c>
      <c r="M6" s="16">
        <f t="shared" si="4"/>
        <v>-0.90410885376130534</v>
      </c>
      <c r="N6" s="17">
        <v>37.261000000000003</v>
      </c>
    </row>
    <row r="7" spans="1:21">
      <c r="A7" s="13" t="s">
        <v>9</v>
      </c>
      <c r="B7" s="15">
        <v>38.26</v>
      </c>
      <c r="C7" s="306">
        <f t="shared" si="2"/>
        <v>-0.32167931352386359</v>
      </c>
      <c r="D7" s="15">
        <v>56.404000000000003</v>
      </c>
      <c r="E7" s="15">
        <v>92.221000000000004</v>
      </c>
      <c r="F7" s="306">
        <f t="shared" si="0"/>
        <v>-6.6305558367925399E-2</v>
      </c>
      <c r="G7" s="15">
        <v>98.77</v>
      </c>
      <c r="H7" s="15">
        <v>225.2149</v>
      </c>
      <c r="I7" s="14">
        <f t="shared" si="1"/>
        <v>-3.0257662266084506E-2</v>
      </c>
      <c r="J7" s="15">
        <v>232.24199999999999</v>
      </c>
      <c r="K7" s="16">
        <f t="shared" si="3"/>
        <v>5.0559790106982076E-2</v>
      </c>
      <c r="L7" s="17">
        <v>221.065</v>
      </c>
      <c r="M7" s="16">
        <f t="shared" si="4"/>
        <v>-0.17310655933927821</v>
      </c>
      <c r="N7" s="17">
        <v>267.34399999999999</v>
      </c>
    </row>
    <row r="8" spans="1:21" ht="30.6">
      <c r="A8" s="13" t="s">
        <v>10</v>
      </c>
      <c r="B8" s="15">
        <v>-2322.8029999999999</v>
      </c>
      <c r="C8" s="306">
        <f t="shared" si="2"/>
        <v>-7.4651842029899385E-2</v>
      </c>
      <c r="D8" s="15">
        <v>-2161.4470000000001</v>
      </c>
      <c r="E8" s="15">
        <v>-3852.2530000000002</v>
      </c>
      <c r="F8" s="306">
        <f t="shared" si="0"/>
        <v>-6.1136101324680281E-2</v>
      </c>
      <c r="G8" s="15">
        <v>-3630.31</v>
      </c>
      <c r="H8" s="15">
        <v>-8163.2550000000001</v>
      </c>
      <c r="I8" s="14">
        <f t="shared" si="1"/>
        <v>5.0089281905331129E-3</v>
      </c>
      <c r="J8" s="15">
        <v>-8204.35</v>
      </c>
      <c r="K8" s="16">
        <f t="shared" si="3"/>
        <v>-5.2079230502336156E-2</v>
      </c>
      <c r="L8" s="17">
        <v>-8655.1010000000006</v>
      </c>
      <c r="M8" s="16">
        <f t="shared" si="4"/>
        <v>-7.1353051248267213E-2</v>
      </c>
      <c r="N8" s="17">
        <v>-9320.1200000000008</v>
      </c>
      <c r="O8" s="20"/>
    </row>
    <row r="9" spans="1:21">
      <c r="A9" s="13" t="s">
        <v>11</v>
      </c>
      <c r="B9" s="15">
        <v>-815.58</v>
      </c>
      <c r="C9" s="306">
        <f t="shared" si="2"/>
        <v>-5.5391284655947892E-2</v>
      </c>
      <c r="D9" s="15">
        <v>-772.77499999999998</v>
      </c>
      <c r="E9" s="15">
        <v>-1520.98</v>
      </c>
      <c r="F9" s="306">
        <f t="shared" si="0"/>
        <v>-4.4769762962596493E-2</v>
      </c>
      <c r="G9" s="15">
        <v>-1455.8040000000001</v>
      </c>
      <c r="H9" s="15">
        <v>-3057.674</v>
      </c>
      <c r="I9" s="14">
        <f t="shared" si="1"/>
        <v>-1.9684204348092926E-2</v>
      </c>
      <c r="J9" s="15">
        <v>-2998.6480000000001</v>
      </c>
      <c r="K9" s="16">
        <f t="shared" si="3"/>
        <v>-1.7409201262084322E-2</v>
      </c>
      <c r="L9" s="17">
        <v>-3051.777</v>
      </c>
      <c r="M9" s="16">
        <f t="shared" si="4"/>
        <v>1.5748919939023987E-2</v>
      </c>
      <c r="N9" s="17">
        <v>-3004.46</v>
      </c>
      <c r="P9" s="315"/>
    </row>
    <row r="10" spans="1:21">
      <c r="A10" s="13" t="s">
        <v>12</v>
      </c>
      <c r="B10" s="15">
        <v>-216.60599999999999</v>
      </c>
      <c r="C10" s="306">
        <f t="shared" si="2"/>
        <v>-8.4782456875480694E-3</v>
      </c>
      <c r="D10" s="15">
        <v>-214.785</v>
      </c>
      <c r="E10" s="15">
        <v>-362.37299999999999</v>
      </c>
      <c r="F10" s="306">
        <f t="shared" si="0"/>
        <v>-5.1890147084009408E-2</v>
      </c>
      <c r="G10" s="15">
        <v>-344.49700000000001</v>
      </c>
      <c r="H10" s="15">
        <v>-791.36300000000006</v>
      </c>
      <c r="I10" s="14">
        <f t="shared" si="1"/>
        <v>-1.5712578662364418E-2</v>
      </c>
      <c r="J10" s="15">
        <v>-779.12099999999998</v>
      </c>
      <c r="K10" s="16">
        <f t="shared" si="3"/>
        <v>-0.16952048588830457</v>
      </c>
      <c r="L10" s="17">
        <v>-938.15800000000002</v>
      </c>
      <c r="M10" s="16">
        <f t="shared" si="4"/>
        <v>-7.4713658299397023E-2</v>
      </c>
      <c r="N10" s="17">
        <v>-1013.9109999999999</v>
      </c>
    </row>
    <row r="11" spans="1:21" ht="20.399999999999999">
      <c r="A11" s="13" t="s">
        <v>13</v>
      </c>
      <c r="B11" s="15">
        <v>18.681000000000001</v>
      </c>
      <c r="C11" s="306">
        <f t="shared" si="2"/>
        <v>-0.13345393821319229</v>
      </c>
      <c r="D11" s="15">
        <v>21.558</v>
      </c>
      <c r="E11" s="15">
        <v>23.18</v>
      </c>
      <c r="F11" s="306">
        <f t="shared" si="0"/>
        <v>0.61072892780209842</v>
      </c>
      <c r="G11" s="15">
        <v>14.391</v>
      </c>
      <c r="H11" s="15">
        <v>40.274999999999999</v>
      </c>
      <c r="I11" s="14">
        <f t="shared" si="1"/>
        <v>3.4185408667032364</v>
      </c>
      <c r="J11" s="15">
        <v>9.1150000000000002</v>
      </c>
      <c r="K11" s="16" t="s">
        <v>14</v>
      </c>
      <c r="L11" s="17">
        <v>-9.2170000000000005</v>
      </c>
      <c r="M11" s="16">
        <f t="shared" si="4"/>
        <v>-0.7331267915568811</v>
      </c>
      <c r="N11" s="17">
        <v>-34.536999999999999</v>
      </c>
    </row>
    <row r="12" spans="1:21">
      <c r="A12" s="13" t="s">
        <v>15</v>
      </c>
      <c r="B12" s="15">
        <v>15.3</v>
      </c>
      <c r="C12" s="306">
        <f t="shared" si="2"/>
        <v>0.78217821782178198</v>
      </c>
      <c r="D12" s="15">
        <v>8.5850000000000009</v>
      </c>
      <c r="E12" s="15">
        <v>14.94</v>
      </c>
      <c r="F12" s="306">
        <f t="shared" si="0"/>
        <v>0.64157784858806699</v>
      </c>
      <c r="G12" s="15">
        <v>9.1010000000000009</v>
      </c>
      <c r="H12" s="15">
        <v>16.731000000000002</v>
      </c>
      <c r="I12" s="310" t="str">
        <f t="shared" si="1"/>
        <v>n.m.</v>
      </c>
      <c r="J12" s="15">
        <v>-0.95899999999999996</v>
      </c>
      <c r="K12" s="16" t="s">
        <v>14</v>
      </c>
      <c r="L12" s="17">
        <v>4.3479999999999999</v>
      </c>
      <c r="M12" s="16">
        <f t="shared" si="4"/>
        <v>0.21283124128312411</v>
      </c>
      <c r="N12" s="17">
        <v>3.585</v>
      </c>
    </row>
    <row r="13" spans="1:21" s="4" customFormat="1">
      <c r="A13" s="4" t="s">
        <v>147</v>
      </c>
      <c r="B13" s="21">
        <f>SUM(B4:B12)</f>
        <v>189.91800000000049</v>
      </c>
      <c r="C13" s="335">
        <f t="shared" si="2"/>
        <v>0.26329863305285217</v>
      </c>
      <c r="D13" s="21">
        <f>SUM(D4:D12)</f>
        <v>150.33499999999998</v>
      </c>
      <c r="E13" s="21">
        <f>SUM(E4:E12)</f>
        <v>123.82599999999974</v>
      </c>
      <c r="F13" s="335">
        <f t="shared" si="0"/>
        <v>0.53962648894633936</v>
      </c>
      <c r="G13" s="21">
        <f>SUM(G4:G12)</f>
        <v>80.42600000000094</v>
      </c>
      <c r="H13" s="21">
        <f>SUM(H4:H12)</f>
        <v>719.94190000000151</v>
      </c>
      <c r="I13" s="5">
        <f t="shared" si="1"/>
        <v>3.6014332688172779E-2</v>
      </c>
      <c r="J13" s="21">
        <v>694.91499999999996</v>
      </c>
      <c r="K13" s="7">
        <f t="shared" si="3"/>
        <v>0.14228722092728677</v>
      </c>
      <c r="L13" s="6">
        <f>SUM(L4:L12)</f>
        <v>608.35400000000118</v>
      </c>
      <c r="M13" s="7">
        <f t="shared" si="4"/>
        <v>-0.1848737356481209</v>
      </c>
      <c r="N13" s="6">
        <v>746.33099999999865</v>
      </c>
      <c r="O13" s="8"/>
      <c r="P13" s="8"/>
      <c r="Q13" s="8"/>
      <c r="R13" s="8"/>
      <c r="S13" s="8"/>
      <c r="T13" s="8"/>
      <c r="U13" s="8"/>
    </row>
    <row r="14" spans="1:21" ht="20.399999999999999">
      <c r="A14" s="13" t="s">
        <v>16</v>
      </c>
      <c r="B14" s="15">
        <v>-99.02</v>
      </c>
      <c r="C14" s="306">
        <f t="shared" si="2"/>
        <v>-4.6889041602791171E-2</v>
      </c>
      <c r="D14" s="15">
        <v>-94.584999999999994</v>
      </c>
      <c r="E14" s="15">
        <v>-192.24799999999999</v>
      </c>
      <c r="F14" s="306">
        <f t="shared" si="0"/>
        <v>-2.0365052995844124E-2</v>
      </c>
      <c r="G14" s="15">
        <v>-188.411</v>
      </c>
      <c r="H14" s="15">
        <v>-437.98399999999998</v>
      </c>
      <c r="I14" s="14">
        <f t="shared" si="1"/>
        <v>-1.0723755414377312E-2</v>
      </c>
      <c r="J14" s="15">
        <v>-433.33699999999999</v>
      </c>
      <c r="K14" s="16">
        <f t="shared" si="3"/>
        <v>8.0188350017947552E-2</v>
      </c>
      <c r="L14" s="17">
        <v>-401.16800000000001</v>
      </c>
      <c r="M14" s="16">
        <f t="shared" si="4"/>
        <v>-2.5217108172597928E-2</v>
      </c>
      <c r="N14" s="17">
        <v>-411.54599999999999</v>
      </c>
    </row>
    <row r="15" spans="1:21" s="4" customFormat="1">
      <c r="A15" s="4" t="s">
        <v>136</v>
      </c>
      <c r="B15" s="21">
        <f>B13+B14</f>
        <v>90.898000000000494</v>
      </c>
      <c r="C15" s="335">
        <f t="shared" si="2"/>
        <v>0.63045739910314835</v>
      </c>
      <c r="D15" s="21">
        <f>D13+D14</f>
        <v>55.749999999999986</v>
      </c>
      <c r="E15" s="21">
        <f>E13+E14</f>
        <v>-68.422000000000253</v>
      </c>
      <c r="F15" s="335">
        <f t="shared" si="0"/>
        <v>0.36637495948510579</v>
      </c>
      <c r="G15" s="21">
        <f>G13+G14</f>
        <v>-107.98499999999906</v>
      </c>
      <c r="H15" s="21">
        <f>H13+H14</f>
        <v>281.95790000000153</v>
      </c>
      <c r="I15" s="5">
        <f t="shared" si="1"/>
        <v>7.7890765072659685E-2</v>
      </c>
      <c r="J15" s="21">
        <v>261.58299999999997</v>
      </c>
      <c r="K15" s="7">
        <f t="shared" si="3"/>
        <v>0.26255152375159757</v>
      </c>
      <c r="L15" s="6">
        <f>L13+L14</f>
        <v>207.18600000000117</v>
      </c>
      <c r="M15" s="7">
        <f t="shared" si="4"/>
        <v>-0.38113714772166613</v>
      </c>
      <c r="N15" s="6">
        <v>334.78499999999866</v>
      </c>
      <c r="O15" s="8"/>
      <c r="P15" s="8"/>
      <c r="Q15" s="8"/>
      <c r="R15" s="8"/>
      <c r="S15" s="8"/>
      <c r="T15" s="8"/>
      <c r="U15" s="8"/>
    </row>
    <row r="16" spans="1:21">
      <c r="A16" s="13" t="s">
        <v>17</v>
      </c>
      <c r="B16" s="15">
        <f>15.468-22.474</f>
        <v>-7.0060000000000002</v>
      </c>
      <c r="C16" s="306">
        <f t="shared" si="2"/>
        <v>0.21816761522151551</v>
      </c>
      <c r="D16" s="15">
        <f>12.824-21.785</f>
        <v>-8.9610000000000003</v>
      </c>
      <c r="E16" s="15">
        <f>45.165-44.472</f>
        <v>0.69299999999999784</v>
      </c>
      <c r="F16" s="306" t="str">
        <f t="shared" si="0"/>
        <v>n.m.</v>
      </c>
      <c r="G16" s="15">
        <f>32.665-45.665</f>
        <v>-13</v>
      </c>
      <c r="H16" s="15">
        <f>82.169-108.366</f>
        <v>-26.197000000000003</v>
      </c>
      <c r="I16" s="14">
        <f t="shared" si="1"/>
        <v>0.1694039315155359</v>
      </c>
      <c r="J16" s="15">
        <f>66.716-98.256</f>
        <v>-31.540000000000006</v>
      </c>
      <c r="K16" s="16">
        <f t="shared" si="3"/>
        <v>-0.37822812758743035</v>
      </c>
      <c r="L16" s="17">
        <f>73.145-123.871</f>
        <v>-50.725999999999999</v>
      </c>
      <c r="M16" s="16" t="s">
        <v>14</v>
      </c>
      <c r="N16" s="17">
        <v>8.5440000000000111</v>
      </c>
    </row>
    <row r="17" spans="1:21" s="4" customFormat="1">
      <c r="A17" s="4" t="s">
        <v>18</v>
      </c>
      <c r="B17" s="21">
        <f>B16</f>
        <v>-7.0060000000000002</v>
      </c>
      <c r="C17" s="335">
        <f t="shared" si="2"/>
        <v>0.21816761522151551</v>
      </c>
      <c r="D17" s="21">
        <f>D16</f>
        <v>-8.9610000000000003</v>
      </c>
      <c r="E17" s="21">
        <f>E16</f>
        <v>0.69299999999999784</v>
      </c>
      <c r="F17" s="335" t="str">
        <f t="shared" si="0"/>
        <v>n.m.</v>
      </c>
      <c r="G17" s="21">
        <f>G16</f>
        <v>-13</v>
      </c>
      <c r="H17" s="21">
        <f>H16</f>
        <v>-26.197000000000003</v>
      </c>
      <c r="I17" s="5">
        <f t="shared" si="1"/>
        <v>0.1694039315155359</v>
      </c>
      <c r="J17" s="21">
        <f>J16</f>
        <v>-31.540000000000006</v>
      </c>
      <c r="K17" s="7">
        <f t="shared" si="3"/>
        <v>-0.37822812758743035</v>
      </c>
      <c r="L17" s="6">
        <f>L16</f>
        <v>-50.725999999999999</v>
      </c>
      <c r="M17" s="7" t="s">
        <v>14</v>
      </c>
      <c r="N17" s="6">
        <v>8.5440000000000111</v>
      </c>
      <c r="O17" s="8"/>
      <c r="P17" s="8"/>
      <c r="Q17" s="8"/>
      <c r="R17" s="8"/>
      <c r="S17" s="8"/>
      <c r="T17" s="8"/>
      <c r="U17" s="8"/>
    </row>
    <row r="18" spans="1:21" s="4" customFormat="1">
      <c r="A18" s="22" t="s">
        <v>146</v>
      </c>
      <c r="B18" s="11">
        <f>B15+B17</f>
        <v>83.892000000000493</v>
      </c>
      <c r="C18" s="335">
        <f t="shared" si="2"/>
        <v>0.79298553078716183</v>
      </c>
      <c r="D18" s="11">
        <f>D15+D17</f>
        <v>46.788999999999987</v>
      </c>
      <c r="E18" s="11">
        <f>E15+E17</f>
        <v>-67.729000000000255</v>
      </c>
      <c r="F18" s="335">
        <f t="shared" si="0"/>
        <v>0.44018680001652455</v>
      </c>
      <c r="G18" s="11">
        <f>G15+G17</f>
        <v>-120.98499999999906</v>
      </c>
      <c r="H18" s="11">
        <f>SUM(H15:H16)</f>
        <v>255.76090000000153</v>
      </c>
      <c r="I18" s="5">
        <f t="shared" si="1"/>
        <v>0.11179605552006189</v>
      </c>
      <c r="J18" s="11">
        <f>SUM(J15:J16)</f>
        <v>230.04299999999995</v>
      </c>
      <c r="K18" s="7">
        <f t="shared" si="3"/>
        <v>0.47029911798541624</v>
      </c>
      <c r="L18" s="12">
        <f>SUM(L15:L16)</f>
        <v>156.46000000000117</v>
      </c>
      <c r="M18" s="7">
        <f t="shared" si="4"/>
        <v>-0.54428551039964068</v>
      </c>
      <c r="N18" s="12">
        <v>343.3289999999987</v>
      </c>
      <c r="O18" s="8"/>
      <c r="P18" s="8"/>
      <c r="Q18" s="8"/>
      <c r="R18" s="8"/>
      <c r="S18" s="8"/>
      <c r="T18" s="8"/>
      <c r="U18" s="8"/>
    </row>
    <row r="19" spans="1:21">
      <c r="A19" s="23" t="s">
        <v>19</v>
      </c>
      <c r="B19" s="24">
        <v>-17.91</v>
      </c>
      <c r="C19" s="306">
        <f t="shared" si="2"/>
        <v>-2.3277591973244149</v>
      </c>
      <c r="D19" s="24">
        <v>-5.3819999999999997</v>
      </c>
      <c r="E19" s="24">
        <v>6.2629999999999999</v>
      </c>
      <c r="F19" s="306">
        <f t="shared" si="0"/>
        <v>-0.71649087863835947</v>
      </c>
      <c r="G19" s="24">
        <v>22.091000000000001</v>
      </c>
      <c r="H19" s="24">
        <v>-108.259</v>
      </c>
      <c r="I19" s="14">
        <f t="shared" si="1"/>
        <v>-0.46736154409173447</v>
      </c>
      <c r="J19" s="24">
        <v>-73.778000000000006</v>
      </c>
      <c r="K19" s="16">
        <f t="shared" si="3"/>
        <v>0.58928956098401641</v>
      </c>
      <c r="L19" s="25">
        <v>-46.421999999999997</v>
      </c>
      <c r="M19" s="16">
        <f t="shared" si="4"/>
        <v>-0.553801939657244</v>
      </c>
      <c r="N19" s="25">
        <v>-104.039</v>
      </c>
    </row>
    <row r="20" spans="1:21" s="4" customFormat="1" ht="10.199999999999999" customHeight="1">
      <c r="A20" s="22" t="s">
        <v>20</v>
      </c>
      <c r="B20" s="21">
        <f>B18+B19</f>
        <v>65.982000000000497</v>
      </c>
      <c r="C20" s="335">
        <f t="shared" si="2"/>
        <v>0.59349868379743786</v>
      </c>
      <c r="D20" s="21">
        <f>D18+D19</f>
        <v>41.406999999999989</v>
      </c>
      <c r="E20" s="21">
        <f>E18+E19</f>
        <v>-61.466000000000257</v>
      </c>
      <c r="F20" s="335">
        <f t="shared" si="0"/>
        <v>0.3784658321030514</v>
      </c>
      <c r="G20" s="21">
        <f>G18+G19</f>
        <v>-98.893999999999068</v>
      </c>
      <c r="H20" s="21">
        <f>H18+H19</f>
        <v>147.50190000000151</v>
      </c>
      <c r="I20" s="5">
        <f t="shared" si="1"/>
        <v>-5.6048252911803931E-2</v>
      </c>
      <c r="J20" s="21">
        <v>156.26</v>
      </c>
      <c r="K20" s="7">
        <f t="shared" si="3"/>
        <v>0.42005489012884933</v>
      </c>
      <c r="L20" s="6">
        <f>L18+L19</f>
        <v>110.03800000000118</v>
      </c>
      <c r="M20" s="7">
        <f t="shared" si="4"/>
        <v>-0.54014793764887059</v>
      </c>
      <c r="N20" s="6">
        <v>239.28999999999871</v>
      </c>
      <c r="O20" s="8"/>
      <c r="P20" s="8"/>
      <c r="Q20" s="8"/>
      <c r="R20" s="8"/>
      <c r="S20" s="8"/>
      <c r="T20" s="8"/>
      <c r="U20" s="8"/>
    </row>
    <row r="21" spans="1:21" ht="20.399999999999999">
      <c r="A21" s="13" t="s">
        <v>21</v>
      </c>
      <c r="B21" s="15">
        <v>5.0220000000000002</v>
      </c>
      <c r="C21" s="306">
        <f t="shared" si="2"/>
        <v>0.99364827312425574</v>
      </c>
      <c r="D21" s="15">
        <v>2.5190000000000001</v>
      </c>
      <c r="E21" s="15">
        <v>-5.9619999999999997</v>
      </c>
      <c r="F21" s="306">
        <f t="shared" si="0"/>
        <v>-3.345467152019399E-2</v>
      </c>
      <c r="G21" s="15">
        <v>-5.7690000000000001</v>
      </c>
      <c r="H21" s="15">
        <v>19.533999999999999</v>
      </c>
      <c r="I21" s="14">
        <f t="shared" si="1"/>
        <v>-0.54253998735392617</v>
      </c>
      <c r="J21" s="15">
        <v>42.701000000000001</v>
      </c>
      <c r="K21" s="16">
        <f t="shared" si="3"/>
        <v>-0.13572975489303127</v>
      </c>
      <c r="L21" s="17">
        <v>49.406999999999996</v>
      </c>
      <c r="M21" s="16">
        <f t="shared" si="4"/>
        <v>0.11540805960040625</v>
      </c>
      <c r="N21" s="17">
        <v>44.295000000000002</v>
      </c>
    </row>
    <row r="22" spans="1:21" s="4" customFormat="1">
      <c r="A22" s="4" t="s">
        <v>22</v>
      </c>
      <c r="B22" s="6">
        <f>B20-B21</f>
        <v>60.960000000000498</v>
      </c>
      <c r="C22" s="335">
        <f t="shared" si="2"/>
        <v>0.56757868751287055</v>
      </c>
      <c r="D22" s="21">
        <f>D20-D21</f>
        <v>38.887999999999991</v>
      </c>
      <c r="E22" s="6">
        <f>E20-E21</f>
        <v>-55.504000000000261</v>
      </c>
      <c r="F22" s="335">
        <f t="shared" si="0"/>
        <v>0.40398389261744083</v>
      </c>
      <c r="G22" s="21">
        <f>G20-G21</f>
        <v>-93.124999999999062</v>
      </c>
      <c r="H22" s="6">
        <f>H20-H21</f>
        <v>127.96790000000152</v>
      </c>
      <c r="I22" s="5">
        <f t="shared" si="1"/>
        <v>0.12688470310588795</v>
      </c>
      <c r="J22" s="6">
        <f>J20-J21</f>
        <v>113.559</v>
      </c>
      <c r="K22" s="7">
        <f t="shared" si="3"/>
        <v>0.87295277993102194</v>
      </c>
      <c r="L22" s="6">
        <f>L20-L21</f>
        <v>60.63100000000118</v>
      </c>
      <c r="M22" s="7">
        <f>(L22-N22)/N22</f>
        <v>-0.68906382214927786</v>
      </c>
      <c r="N22" s="6">
        <v>194.9949999999987</v>
      </c>
      <c r="O22" s="8"/>
      <c r="P22" s="8"/>
      <c r="Q22" s="8"/>
      <c r="R22" s="8"/>
      <c r="S22" s="8"/>
      <c r="T22" s="8"/>
      <c r="U22" s="8"/>
    </row>
    <row r="23" spans="1:21">
      <c r="A23" s="4"/>
      <c r="B23" s="26"/>
      <c r="C23" s="335"/>
      <c r="D23" s="354"/>
      <c r="E23" s="26"/>
      <c r="F23" s="335"/>
      <c r="G23" s="26"/>
      <c r="H23" s="26"/>
      <c r="I23" s="14"/>
      <c r="J23" s="26"/>
      <c r="K23" s="16"/>
      <c r="L23" s="26"/>
      <c r="M23" s="7"/>
      <c r="N23" s="26"/>
    </row>
    <row r="24" spans="1:21" s="4" customFormat="1">
      <c r="A24" s="4" t="s">
        <v>147</v>
      </c>
      <c r="B24" s="6">
        <f>B13</f>
        <v>189.91800000000049</v>
      </c>
      <c r="C24" s="335">
        <f t="shared" si="2"/>
        <v>0.26329863305285217</v>
      </c>
      <c r="D24" s="6">
        <f>D13</f>
        <v>150.33499999999998</v>
      </c>
      <c r="E24" s="6">
        <f>E13</f>
        <v>123.82599999999974</v>
      </c>
      <c r="F24" s="335">
        <f t="shared" ref="F24" si="5">IF((+E24/G24)&lt;0,"n.m.",IF(E24&lt;0,(+E24/G24-1)*-1,(+E24/G24-1)))</f>
        <v>0.53962648894633936</v>
      </c>
      <c r="G24" s="6">
        <f>G13</f>
        <v>80.42600000000094</v>
      </c>
      <c r="H24" s="6">
        <f>H13</f>
        <v>719.94190000000151</v>
      </c>
      <c r="I24" s="5">
        <f t="shared" si="1"/>
        <v>3.6014332688172779E-2</v>
      </c>
      <c r="J24" s="6">
        <f>J13</f>
        <v>694.91499999999996</v>
      </c>
      <c r="K24" s="7">
        <f t="shared" si="3"/>
        <v>0.14228722092728677</v>
      </c>
      <c r="L24" s="6">
        <f>L13</f>
        <v>608.35400000000118</v>
      </c>
      <c r="M24" s="7">
        <f t="shared" si="4"/>
        <v>-0.1848737356481209</v>
      </c>
      <c r="N24" s="6">
        <v>746.33099999999865</v>
      </c>
      <c r="O24" s="8"/>
      <c r="P24" s="8"/>
      <c r="Q24" s="8"/>
      <c r="R24" s="8"/>
      <c r="S24" s="8"/>
      <c r="T24" s="8"/>
      <c r="U24" s="8"/>
    </row>
    <row r="25" spans="1:21" s="27" customFormat="1">
      <c r="A25" s="27" t="s">
        <v>23</v>
      </c>
      <c r="B25" s="28">
        <f>B24/B4</f>
        <v>5.4865651117575992E-2</v>
      </c>
      <c r="C25" s="335"/>
      <c r="D25" s="28">
        <f>D24/D4</f>
        <v>4.7127195622297786E-2</v>
      </c>
      <c r="E25" s="28">
        <f>E24/E4</f>
        <v>2.1551939450025703E-2</v>
      </c>
      <c r="F25" s="335"/>
      <c r="G25" s="28">
        <f>G24/G4</f>
        <v>1.5021823164381424E-2</v>
      </c>
      <c r="H25" s="28">
        <f>H24/H4</f>
        <v>5.7707660340247893E-2</v>
      </c>
      <c r="I25" s="14"/>
      <c r="J25" s="28">
        <f>J24/J4</f>
        <v>5.6067974638361703E-2</v>
      </c>
      <c r="K25" s="7"/>
      <c r="L25" s="28">
        <f>L24/L4</f>
        <v>4.6856896121328269E-2</v>
      </c>
      <c r="M25" s="7"/>
      <c r="N25" s="28">
        <v>5.4421880318546091E-2</v>
      </c>
      <c r="O25" s="29"/>
      <c r="P25" s="29"/>
      <c r="Q25" s="29"/>
      <c r="R25" s="29"/>
      <c r="S25" s="29"/>
      <c r="T25" s="29"/>
      <c r="U25" s="29"/>
    </row>
    <row r="26" spans="1:21" s="4" customFormat="1">
      <c r="A26" s="4" t="s">
        <v>136</v>
      </c>
      <c r="B26" s="6">
        <f>B15</f>
        <v>90.898000000000494</v>
      </c>
      <c r="C26" s="335">
        <f t="shared" si="2"/>
        <v>0.63045739910314835</v>
      </c>
      <c r="D26" s="6">
        <f>D15</f>
        <v>55.749999999999986</v>
      </c>
      <c r="E26" s="6">
        <f>E15</f>
        <v>-68.422000000000253</v>
      </c>
      <c r="F26" s="335">
        <f t="shared" ref="F26" si="6">IF((+E26/G26)&lt;0,"n.m.",IF(E26&lt;0,(+E26/G26-1)*-1,(+E26/G26-1)))</f>
        <v>0.36637495948510579</v>
      </c>
      <c r="G26" s="6">
        <f>G15</f>
        <v>-107.98499999999906</v>
      </c>
      <c r="H26" s="6">
        <f>H15</f>
        <v>281.95790000000153</v>
      </c>
      <c r="I26" s="5">
        <f t="shared" si="1"/>
        <v>7.7890765072659685E-2</v>
      </c>
      <c r="J26" s="6">
        <f>J15</f>
        <v>261.58299999999997</v>
      </c>
      <c r="K26" s="7">
        <f t="shared" si="3"/>
        <v>0.26255152375159757</v>
      </c>
      <c r="L26" s="6">
        <f>L15</f>
        <v>207.18600000000117</v>
      </c>
      <c r="M26" s="7">
        <f t="shared" si="4"/>
        <v>-0.38113714772166613</v>
      </c>
      <c r="N26" s="6">
        <v>334.78499999999866</v>
      </c>
      <c r="O26" s="8"/>
      <c r="P26" s="8"/>
      <c r="Q26" s="8"/>
      <c r="R26" s="8"/>
      <c r="S26" s="8"/>
      <c r="T26" s="8"/>
      <c r="U26" s="8"/>
    </row>
    <row r="27" spans="1:21" s="4" customFormat="1">
      <c r="A27" s="27" t="s">
        <v>23</v>
      </c>
      <c r="B27" s="28">
        <f>B26/B4</f>
        <v>2.6259638134802584E-2</v>
      </c>
      <c r="C27" s="335"/>
      <c r="D27" s="28">
        <f>D26/D4</f>
        <v>1.7476576685024121E-2</v>
      </c>
      <c r="E27" s="28">
        <f>E26/E4</f>
        <v>-1.1908862444475856E-2</v>
      </c>
      <c r="F27" s="335"/>
      <c r="G27" s="28">
        <f>G26/G4</f>
        <v>-2.0169243458653854E-2</v>
      </c>
      <c r="H27" s="28">
        <f>H26/H4</f>
        <v>2.2600616415643589E-2</v>
      </c>
      <c r="I27" s="14"/>
      <c r="J27" s="28">
        <f>J26/J4</f>
        <v>2.1105356784393153E-2</v>
      </c>
      <c r="K27" s="7"/>
      <c r="L27" s="28">
        <f>L26/L4</f>
        <v>1.5957966709832686E-2</v>
      </c>
      <c r="M27" s="7"/>
      <c r="N27" s="28">
        <v>2.4412263730763446E-2</v>
      </c>
      <c r="O27" s="8"/>
      <c r="P27" s="8"/>
      <c r="Q27" s="8"/>
      <c r="R27" s="8"/>
      <c r="S27" s="8"/>
      <c r="T27" s="8"/>
      <c r="U27" s="8"/>
    </row>
    <row r="28" spans="1:21" s="4" customFormat="1">
      <c r="A28" s="4" t="s">
        <v>24</v>
      </c>
      <c r="B28" s="358">
        <f>B22/B31*1000000</f>
        <v>0.59415204678363054</v>
      </c>
      <c r="C28" s="335">
        <f t="shared" si="2"/>
        <v>0.56757868751287055</v>
      </c>
      <c r="D28" s="30">
        <f>D22/D31*1000000</f>
        <v>0.37902534113060421</v>
      </c>
      <c r="E28" s="30">
        <f>E22/E31*1000000</f>
        <v>-0.54097465886939833</v>
      </c>
      <c r="F28" s="335">
        <f t="shared" ref="F28" si="7">IF((+E28/G28)&lt;0,"n.m.",IF(E28&lt;0,(+E28/G28-1)*-1,(+E28/G28-1)))</f>
        <v>0.40398389261744072</v>
      </c>
      <c r="G28" s="30">
        <f>G22/G31*1000000</f>
        <v>-0.90765107212474716</v>
      </c>
      <c r="H28" s="30">
        <f>H22/H31*1000000</f>
        <v>1.2472504873294497</v>
      </c>
      <c r="I28" s="5">
        <f t="shared" si="1"/>
        <v>0.12816809957331432</v>
      </c>
      <c r="J28" s="30">
        <f>J22/J31*1000000</f>
        <v>1.1055537626007805</v>
      </c>
      <c r="K28" s="7">
        <f t="shared" si="3"/>
        <v>0.89786768145948936</v>
      </c>
      <c r="L28" s="30">
        <f>L22/L31*1000000</f>
        <v>0.5825241524480741</v>
      </c>
      <c r="M28" s="7">
        <f t="shared" si="4"/>
        <v>-0.66713362131404896</v>
      </c>
      <c r="N28" s="30">
        <v>1.7500240028677319</v>
      </c>
      <c r="O28" s="8"/>
      <c r="P28" s="8"/>
      <c r="Q28" s="8"/>
      <c r="R28" s="8"/>
      <c r="S28" s="8"/>
      <c r="T28" s="8"/>
      <c r="U28" s="8"/>
    </row>
    <row r="29" spans="1:21" s="27" customFormat="1" ht="20.399999999999999">
      <c r="A29" s="27" t="s">
        <v>25</v>
      </c>
      <c r="B29" s="28">
        <f>B22/B4</f>
        <v>1.7610811466672201E-2</v>
      </c>
      <c r="C29" s="306"/>
      <c r="D29" s="28">
        <f>D22/D4</f>
        <v>1.2190656755645167E-2</v>
      </c>
      <c r="E29" s="28">
        <f>E22/E4</f>
        <v>-9.660482025053178E-3</v>
      </c>
      <c r="F29" s="306"/>
      <c r="G29" s="28">
        <f>G22/G4</f>
        <v>-1.7393719471103741E-2</v>
      </c>
      <c r="H29" s="28">
        <f>H22/H4</f>
        <v>1.0257394530940456E-2</v>
      </c>
      <c r="I29" s="16"/>
      <c r="J29" s="28">
        <f>J22/J4</f>
        <v>9.1623049321970552E-3</v>
      </c>
      <c r="K29" s="16"/>
      <c r="L29" s="28">
        <f>L22/L4</f>
        <v>4.6699462298798134E-3</v>
      </c>
      <c r="M29" s="7"/>
      <c r="N29" s="28">
        <v>1.4218884854997104E-2</v>
      </c>
      <c r="O29" s="29"/>
      <c r="P29" s="29"/>
      <c r="Q29" s="29"/>
      <c r="R29" s="29"/>
      <c r="S29" s="29"/>
      <c r="T29" s="29"/>
      <c r="U29" s="29"/>
    </row>
    <row r="30" spans="1:21" s="4" customFormat="1">
      <c r="B30" s="31"/>
      <c r="C30" s="306"/>
      <c r="D30" s="31"/>
      <c r="E30" s="31"/>
      <c r="F30" s="306"/>
      <c r="G30" s="31"/>
      <c r="H30" s="31"/>
      <c r="I30" s="31"/>
      <c r="J30" s="31"/>
      <c r="K30" s="31"/>
      <c r="L30" s="31"/>
      <c r="M30" s="31"/>
      <c r="N30" s="31"/>
      <c r="O30" s="8"/>
      <c r="P30" s="8"/>
      <c r="Q30" s="8"/>
      <c r="R30" s="8"/>
      <c r="S30" s="8"/>
      <c r="T30" s="8"/>
      <c r="U30" s="8"/>
    </row>
    <row r="31" spans="1:21" ht="20.399999999999999">
      <c r="A31" s="13" t="s">
        <v>26</v>
      </c>
      <c r="B31" s="32">
        <v>102600000</v>
      </c>
      <c r="C31" s="306">
        <f t="shared" si="2"/>
        <v>0</v>
      </c>
      <c r="D31" s="32">
        <v>102600000</v>
      </c>
      <c r="E31" s="32">
        <v>102600000</v>
      </c>
      <c r="F31" s="306">
        <f t="shared" ref="F31" si="8">IF((+E31/G31)&lt;0,"n.m.",IF(E31&lt;0,(+E31/G31-1)*-1,(+E31/G31-1)))</f>
        <v>0</v>
      </c>
      <c r="G31" s="32">
        <v>102600000</v>
      </c>
      <c r="H31" s="32">
        <v>102600000</v>
      </c>
      <c r="I31" s="14">
        <f t="shared" ref="I31" si="9">IF((+H31/J31)&lt;0,"n.m.",IF(H31&lt;0,(+H31/J31-1)*-1,(+H31/J31-1)))</f>
        <v>-1.1375932965234092E-3</v>
      </c>
      <c r="J31" s="32">
        <v>102716850</v>
      </c>
      <c r="K31" s="16">
        <f t="shared" si="3"/>
        <v>-1.3127839085867026E-2</v>
      </c>
      <c r="L31" s="33">
        <v>104083238</v>
      </c>
      <c r="M31" s="16">
        <f>(L31-N31)/N31</f>
        <v>-6.5882895478365885E-2</v>
      </c>
      <c r="N31" s="33">
        <v>111424186</v>
      </c>
    </row>
    <row r="32" spans="1:21" s="4" customFormat="1">
      <c r="B32" s="34"/>
      <c r="C32" s="26"/>
      <c r="D32" s="26"/>
      <c r="E32" s="34"/>
      <c r="F32" s="26"/>
      <c r="G32" s="26"/>
      <c r="H32" s="34"/>
      <c r="I32" s="26"/>
      <c r="J32" s="34"/>
      <c r="K32" s="26"/>
      <c r="L32" s="26"/>
      <c r="M32" s="7"/>
      <c r="N32" s="26"/>
      <c r="O32" s="8"/>
      <c r="P32" s="8"/>
      <c r="Q32" s="8"/>
      <c r="R32" s="8"/>
      <c r="S32" s="8"/>
      <c r="T32" s="8"/>
      <c r="U32" s="8"/>
    </row>
    <row r="33" spans="1:21">
      <c r="A33" s="13" t="s">
        <v>27</v>
      </c>
      <c r="B33" s="36" t="s">
        <v>46</v>
      </c>
      <c r="C33" s="336" t="s">
        <v>46</v>
      </c>
      <c r="D33" s="36" t="s">
        <v>46</v>
      </c>
      <c r="E33" s="36" t="s">
        <v>46</v>
      </c>
      <c r="F33" s="336" t="s">
        <v>46</v>
      </c>
      <c r="G33" s="36" t="s">
        <v>46</v>
      </c>
      <c r="H33" s="35">
        <v>0.5</v>
      </c>
      <c r="I33" s="14">
        <f t="shared" ref="I33" si="10">IF((+H33/J33)&lt;0,"n.m.",IF(H33&lt;0,(+H33/J33-1)*-1,(+H33/J33-1)))</f>
        <v>0.11111111111111116</v>
      </c>
      <c r="J33" s="35">
        <v>0.45</v>
      </c>
      <c r="K33" s="16">
        <f t="shared" si="3"/>
        <v>1.25</v>
      </c>
      <c r="L33" s="36">
        <v>0.2</v>
      </c>
      <c r="M33" s="16">
        <f t="shared" si="4"/>
        <v>-0.66666666666666663</v>
      </c>
      <c r="N33" s="36">
        <v>0.6</v>
      </c>
    </row>
    <row r="34" spans="1:21">
      <c r="A34" s="13" t="s">
        <v>28</v>
      </c>
      <c r="B34" s="36" t="s">
        <v>46</v>
      </c>
      <c r="C34" s="336" t="s">
        <v>46</v>
      </c>
      <c r="D34" s="36" t="s">
        <v>46</v>
      </c>
      <c r="E34" s="36" t="s">
        <v>46</v>
      </c>
      <c r="F34" s="336" t="s">
        <v>46</v>
      </c>
      <c r="G34" s="36" t="s">
        <v>46</v>
      </c>
      <c r="H34" s="37">
        <f>H33/H28</f>
        <v>0.40088178363479737</v>
      </c>
      <c r="I34" s="38"/>
      <c r="J34" s="37">
        <f>J33/J28</f>
        <v>0.40703583599714693</v>
      </c>
      <c r="K34" s="38"/>
      <c r="L34" s="37">
        <f>L33/L28</f>
        <v>0.34333340370436899</v>
      </c>
      <c r="M34" s="16"/>
      <c r="N34" s="37">
        <v>0.34285244031898482</v>
      </c>
    </row>
    <row r="35" spans="1:21">
      <c r="A35" s="13" t="s">
        <v>29</v>
      </c>
      <c r="B35" s="40">
        <v>1.4999999999999999E-2</v>
      </c>
      <c r="C35" s="39"/>
      <c r="D35" s="39">
        <v>1.0999999999999999E-2</v>
      </c>
      <c r="E35" s="40">
        <v>-5.0000000000000001E-3</v>
      </c>
      <c r="F35" s="39"/>
      <c r="G35" s="39">
        <v>-1.0999999999999999E-2</v>
      </c>
      <c r="H35" s="40">
        <v>4.2999999999999997E-2</v>
      </c>
      <c r="I35" s="39"/>
      <c r="J35" s="40">
        <v>4.5999999999999999E-2</v>
      </c>
      <c r="K35" s="39"/>
      <c r="L35" s="28">
        <v>0.04</v>
      </c>
      <c r="M35" s="28"/>
      <c r="N35" s="28">
        <v>6.3E-2</v>
      </c>
    </row>
    <row r="36" spans="1:21">
      <c r="B36" s="41"/>
      <c r="E36" s="41"/>
      <c r="F36" s="355"/>
      <c r="H36" s="41"/>
      <c r="J36" s="41"/>
    </row>
    <row r="37" spans="1:21" ht="30.6">
      <c r="A37" s="43"/>
      <c r="B37" s="44"/>
      <c r="C37" s="350"/>
      <c r="D37" s="313"/>
      <c r="E37" s="44"/>
      <c r="F37" s="356" t="s">
        <v>154</v>
      </c>
      <c r="G37" s="313"/>
      <c r="H37" s="44"/>
      <c r="I37" s="45" t="s">
        <v>30</v>
      </c>
      <c r="J37" s="44"/>
      <c r="K37" s="45" t="s">
        <v>31</v>
      </c>
      <c r="L37" s="44"/>
      <c r="M37" s="45" t="s">
        <v>32</v>
      </c>
      <c r="N37" s="44"/>
    </row>
    <row r="38" spans="1:21" s="4" customFormat="1">
      <c r="A38" s="46" t="s">
        <v>33</v>
      </c>
      <c r="B38" s="47"/>
      <c r="C38" s="351"/>
      <c r="D38" s="341"/>
      <c r="E38" s="47">
        <f>SUM(E39:E47)</f>
        <v>4480.1190000000006</v>
      </c>
      <c r="F38" s="48">
        <f>E38/$E$70</f>
        <v>0.42461296561058059</v>
      </c>
      <c r="G38" s="341"/>
      <c r="H38" s="47">
        <f>SUM(H39:H47)</f>
        <v>4506.4669999999996</v>
      </c>
      <c r="I38" s="48">
        <f t="shared" ref="I38:I70" si="11">H38/$H$70</f>
        <v>0.43856241952371755</v>
      </c>
      <c r="J38" s="49">
        <v>4416.29</v>
      </c>
      <c r="K38" s="48">
        <f t="shared" ref="K38:K59" si="12">J38/$J$70</f>
        <v>0.41817787736205031</v>
      </c>
      <c r="L38" s="47">
        <f>SUM(L39:L47)</f>
        <v>4546.4570000000003</v>
      </c>
      <c r="M38" s="48">
        <f t="shared" ref="M38:M70" si="13">L38/$L$70</f>
        <v>0.44847075107551632</v>
      </c>
      <c r="N38" s="79">
        <v>4534.3550000000005</v>
      </c>
      <c r="O38" s="8"/>
      <c r="P38" s="8"/>
      <c r="Q38" s="8"/>
      <c r="R38" s="8"/>
      <c r="S38" s="8"/>
      <c r="T38" s="8"/>
      <c r="U38" s="8"/>
    </row>
    <row r="39" spans="1:21">
      <c r="A39" s="13" t="s">
        <v>34</v>
      </c>
      <c r="B39" s="51"/>
      <c r="C39" s="38"/>
      <c r="D39" s="61"/>
      <c r="E39" s="51">
        <v>536.404</v>
      </c>
      <c r="F39" s="50">
        <f>E39/$E$70</f>
        <v>5.083884896927466E-2</v>
      </c>
      <c r="G39" s="61"/>
      <c r="H39" s="51">
        <v>535.72500000000002</v>
      </c>
      <c r="I39" s="50">
        <f t="shared" si="11"/>
        <v>5.2135930918687214E-2</v>
      </c>
      <c r="J39" s="51">
        <v>501.78800000000001</v>
      </c>
      <c r="K39" s="50">
        <f t="shared" si="12"/>
        <v>4.7514234963226716E-2</v>
      </c>
      <c r="L39" s="52">
        <v>530.36099999999999</v>
      </c>
      <c r="M39" s="50">
        <f t="shared" si="13"/>
        <v>5.2315769402671554E-2</v>
      </c>
      <c r="N39" s="61">
        <v>536.51</v>
      </c>
    </row>
    <row r="40" spans="1:21">
      <c r="A40" s="13" t="s">
        <v>35</v>
      </c>
      <c r="B40" s="51"/>
      <c r="C40" s="38"/>
      <c r="D40" s="61"/>
      <c r="E40" s="51">
        <v>1999.4449999999999</v>
      </c>
      <c r="F40" s="50">
        <f t="shared" ref="F40:F70" si="14">E40/$E$70</f>
        <v>0.1895017232857536</v>
      </c>
      <c r="G40" s="61"/>
      <c r="H40" s="51">
        <v>2015.0609999999999</v>
      </c>
      <c r="I40" s="50">
        <f t="shared" si="11"/>
        <v>0.196102629320903</v>
      </c>
      <c r="J40" s="51">
        <v>2145.5169999999998</v>
      </c>
      <c r="K40" s="50">
        <f t="shared" si="12"/>
        <v>0.2031587021921554</v>
      </c>
      <c r="L40" s="52">
        <v>2225.5720000000001</v>
      </c>
      <c r="M40" s="50">
        <f t="shared" si="13"/>
        <v>0.21953445208271827</v>
      </c>
      <c r="N40" s="61">
        <v>2154.2379999999998</v>
      </c>
    </row>
    <row r="41" spans="1:21">
      <c r="A41" s="13" t="s">
        <v>36</v>
      </c>
      <c r="B41" s="51"/>
      <c r="C41" s="38"/>
      <c r="D41" s="61"/>
      <c r="E41" s="51">
        <v>17.026</v>
      </c>
      <c r="F41" s="50">
        <f t="shared" si="14"/>
        <v>1.6136759654120222E-3</v>
      </c>
      <c r="G41" s="61"/>
      <c r="H41" s="51">
        <v>33.773000000000003</v>
      </c>
      <c r="I41" s="50">
        <f t="shared" si="11"/>
        <v>3.286736282452421E-3</v>
      </c>
      <c r="J41" s="51">
        <v>36.893999999999998</v>
      </c>
      <c r="K41" s="50">
        <f t="shared" si="12"/>
        <v>3.4934876576029842E-3</v>
      </c>
      <c r="L41" s="52">
        <v>41.667000000000002</v>
      </c>
      <c r="M41" s="50">
        <f t="shared" si="13"/>
        <v>4.1101083294230074E-3</v>
      </c>
      <c r="N41" s="61">
        <v>53.277999999999999</v>
      </c>
    </row>
    <row r="42" spans="1:21">
      <c r="A42" s="13" t="s">
        <v>37</v>
      </c>
      <c r="B42" s="51"/>
      <c r="C42" s="38"/>
      <c r="D42" s="61"/>
      <c r="E42" s="51">
        <v>389.24200000000002</v>
      </c>
      <c r="F42" s="50">
        <f t="shared" si="14"/>
        <v>3.6891252210084956E-2</v>
      </c>
      <c r="G42" s="61"/>
      <c r="H42" s="51">
        <v>401.62200000000001</v>
      </c>
      <c r="I42" s="50">
        <f t="shared" si="11"/>
        <v>3.9085233743851783E-2</v>
      </c>
      <c r="J42" s="51">
        <v>371.596</v>
      </c>
      <c r="K42" s="50">
        <f t="shared" si="12"/>
        <v>3.5186372841509148E-2</v>
      </c>
      <c r="L42" s="52">
        <v>379.12200000000001</v>
      </c>
      <c r="M42" s="50">
        <f t="shared" si="13"/>
        <v>3.7397280583375561E-2</v>
      </c>
      <c r="N42" s="61">
        <v>402.279</v>
      </c>
    </row>
    <row r="43" spans="1:21">
      <c r="A43" s="13" t="s">
        <v>38</v>
      </c>
      <c r="B43" s="51"/>
      <c r="C43" s="38"/>
      <c r="D43" s="61"/>
      <c r="E43" s="51">
        <v>217.721</v>
      </c>
      <c r="F43" s="50">
        <f t="shared" si="14"/>
        <v>2.0634978554297599E-2</v>
      </c>
      <c r="G43" s="61"/>
      <c r="H43" s="51">
        <v>232.64400000000001</v>
      </c>
      <c r="I43" s="50">
        <f t="shared" si="11"/>
        <v>2.2640555345834274E-2</v>
      </c>
      <c r="J43" s="51">
        <v>235.4</v>
      </c>
      <c r="K43" s="50">
        <f t="shared" si="12"/>
        <v>2.2289992806411411E-2</v>
      </c>
      <c r="L43" s="52">
        <v>250.292</v>
      </c>
      <c r="M43" s="50">
        <f t="shared" si="13"/>
        <v>2.4689256101661828E-2</v>
      </c>
      <c r="N43" s="61">
        <v>249.06200000000001</v>
      </c>
    </row>
    <row r="44" spans="1:21">
      <c r="A44" s="13" t="s">
        <v>39</v>
      </c>
      <c r="B44" s="51"/>
      <c r="C44" s="38"/>
      <c r="D44" s="61"/>
      <c r="E44" s="51">
        <v>724.65700000000004</v>
      </c>
      <c r="F44" s="50">
        <f t="shared" si="14"/>
        <v>6.8680934104756244E-2</v>
      </c>
      <c r="G44" s="61"/>
      <c r="H44" s="51">
        <v>728.79</v>
      </c>
      <c r="I44" s="50">
        <f t="shared" si="11"/>
        <v>7.0924719014849133E-2</v>
      </c>
      <c r="J44" s="51">
        <v>780.62800000000004</v>
      </c>
      <c r="K44" s="50">
        <f t="shared" si="12"/>
        <v>7.3917555244194244E-2</v>
      </c>
      <c r="L44" s="52">
        <v>782.56700000000001</v>
      </c>
      <c r="M44" s="50">
        <f t="shared" si="13"/>
        <v>7.7193825930150353E-2</v>
      </c>
      <c r="N44" s="61">
        <v>839.33199999999999</v>
      </c>
    </row>
    <row r="45" spans="1:21">
      <c r="A45" s="13" t="s">
        <v>40</v>
      </c>
      <c r="B45" s="51"/>
      <c r="C45" s="38"/>
      <c r="D45" s="61"/>
      <c r="E45" s="51">
        <v>70.605000000000004</v>
      </c>
      <c r="F45" s="50">
        <f t="shared" si="14"/>
        <v>6.6917415445739365E-3</v>
      </c>
      <c r="G45" s="61"/>
      <c r="H45" s="51">
        <v>72.509</v>
      </c>
      <c r="I45" s="50">
        <f t="shared" si="11"/>
        <v>7.0564640720203291E-3</v>
      </c>
      <c r="J45" s="51">
        <v>72.578000000000003</v>
      </c>
      <c r="K45" s="50">
        <f t="shared" si="12"/>
        <v>6.8724005858272191E-3</v>
      </c>
      <c r="L45" s="52">
        <v>91.426000000000002</v>
      </c>
      <c r="M45" s="50">
        <f t="shared" si="13"/>
        <v>9.0184261916103365E-3</v>
      </c>
      <c r="N45" s="61">
        <v>74.081999999999994</v>
      </c>
    </row>
    <row r="46" spans="1:21" ht="20.399999999999999">
      <c r="A46" s="13" t="s">
        <v>41</v>
      </c>
      <c r="B46" s="51"/>
      <c r="C46" s="38"/>
      <c r="D46" s="61"/>
      <c r="E46" s="51">
        <f>5.976+208.864</f>
        <v>214.84</v>
      </c>
      <c r="F46" s="50">
        <f t="shared" si="14"/>
        <v>2.0361925549695695E-2</v>
      </c>
      <c r="G46" s="61"/>
      <c r="H46" s="51">
        <v>208.22</v>
      </c>
      <c r="I46" s="50">
        <f t="shared" si="11"/>
        <v>2.0263649327339681E-2</v>
      </c>
      <c r="J46" s="51">
        <v>54.5</v>
      </c>
      <c r="K46" s="50">
        <f t="shared" si="12"/>
        <v>5.1605973149932956E-3</v>
      </c>
      <c r="L46" s="52">
        <f>12.009+35.824</f>
        <v>47.832999999999998</v>
      </c>
      <c r="M46" s="50">
        <f t="shared" si="13"/>
        <v>4.7183337346410996E-3</v>
      </c>
      <c r="N46" s="61">
        <v>51.85</v>
      </c>
    </row>
    <row r="47" spans="1:21">
      <c r="A47" s="13" t="s">
        <v>42</v>
      </c>
      <c r="B47" s="51"/>
      <c r="C47" s="38"/>
      <c r="D47" s="61"/>
      <c r="E47" s="51">
        <v>310.17899999999997</v>
      </c>
      <c r="F47" s="50">
        <f t="shared" si="14"/>
        <v>2.9397885426731801E-2</v>
      </c>
      <c r="G47" s="61"/>
      <c r="H47" s="51">
        <v>278.12299999999999</v>
      </c>
      <c r="I47" s="50">
        <f t="shared" si="11"/>
        <v>2.7066501497779723E-2</v>
      </c>
      <c r="J47" s="51">
        <v>217.28800000000001</v>
      </c>
      <c r="K47" s="50">
        <f t="shared" si="12"/>
        <v>2.0574970080371804E-2</v>
      </c>
      <c r="L47" s="52">
        <v>197.61699999999999</v>
      </c>
      <c r="M47" s="50">
        <f t="shared" si="13"/>
        <v>1.9493298719264321E-2</v>
      </c>
      <c r="N47" s="61">
        <v>173.72399999999999</v>
      </c>
    </row>
    <row r="48" spans="1:21" s="4" customFormat="1">
      <c r="A48" s="4" t="s">
        <v>43</v>
      </c>
      <c r="B48" s="49"/>
      <c r="C48" s="351"/>
      <c r="D48" s="341"/>
      <c r="E48" s="49">
        <f>SUM(E49:E53)</f>
        <v>6070.9470000000001</v>
      </c>
      <c r="F48" s="48">
        <f t="shared" si="14"/>
        <v>0.57538712916658175</v>
      </c>
      <c r="G48" s="341"/>
      <c r="H48" s="49">
        <f>SUM(H49:H53)</f>
        <v>5769.0820000000003</v>
      </c>
      <c r="I48" s="48">
        <f t="shared" si="11"/>
        <v>0.56143816438703043</v>
      </c>
      <c r="J48" s="47">
        <v>6144.5</v>
      </c>
      <c r="K48" s="48">
        <f t="shared" si="12"/>
        <v>0.58182183856837255</v>
      </c>
      <c r="L48" s="47">
        <f>SUM(L49:L53)</f>
        <v>5591.232</v>
      </c>
      <c r="M48" s="48">
        <f t="shared" si="13"/>
        <v>0.55152924892448363</v>
      </c>
      <c r="N48" s="341">
        <v>5851.6990000000005</v>
      </c>
      <c r="O48" s="8"/>
      <c r="P48" s="8"/>
      <c r="Q48" s="8"/>
      <c r="R48" s="8"/>
      <c r="S48" s="8"/>
      <c r="T48" s="8"/>
      <c r="U48" s="8"/>
    </row>
    <row r="49" spans="1:21">
      <c r="A49" s="13" t="s">
        <v>44</v>
      </c>
      <c r="B49" s="51"/>
      <c r="C49" s="38"/>
      <c r="D49" s="61"/>
      <c r="E49" s="51">
        <v>922.94799999999998</v>
      </c>
      <c r="F49" s="50">
        <f t="shared" si="14"/>
        <v>8.7474392395459594E-2</v>
      </c>
      <c r="G49" s="61"/>
      <c r="H49" s="51">
        <v>849.4</v>
      </c>
      <c r="I49" s="50">
        <f t="shared" si="11"/>
        <v>8.2662298235723394E-2</v>
      </c>
      <c r="J49" s="51">
        <v>1104.9780000000001</v>
      </c>
      <c r="K49" s="50">
        <f t="shared" si="12"/>
        <v>0.10463021100782867</v>
      </c>
      <c r="L49" s="52">
        <v>1031.557</v>
      </c>
      <c r="M49" s="50">
        <f t="shared" si="13"/>
        <v>0.10175465039418748</v>
      </c>
      <c r="N49" s="61">
        <v>818.39</v>
      </c>
    </row>
    <row r="50" spans="1:21">
      <c r="A50" s="13" t="s">
        <v>39</v>
      </c>
      <c r="B50" s="51"/>
      <c r="C50" s="38"/>
      <c r="D50" s="61"/>
      <c r="E50" s="51">
        <v>27.72</v>
      </c>
      <c r="F50" s="50">
        <f t="shared" si="14"/>
        <v>2.6272229391061468E-3</v>
      </c>
      <c r="G50" s="61"/>
      <c r="H50" s="51">
        <v>26.654</v>
      </c>
      <c r="I50" s="50">
        <f t="shared" si="11"/>
        <v>2.5939261798622218E-3</v>
      </c>
      <c r="J50" s="51">
        <v>24.643000000000001</v>
      </c>
      <c r="K50" s="50">
        <f t="shared" si="12"/>
        <v>2.3334421951078863E-3</v>
      </c>
      <c r="L50" s="52">
        <v>22.785</v>
      </c>
      <c r="M50" s="50">
        <f t="shared" si="13"/>
        <v>2.2475536584324099E-3</v>
      </c>
      <c r="N50" s="61">
        <v>160.74299999999999</v>
      </c>
    </row>
    <row r="51" spans="1:21">
      <c r="A51" s="13" t="s">
        <v>40</v>
      </c>
      <c r="B51" s="51"/>
      <c r="C51" s="38"/>
      <c r="D51" s="61"/>
      <c r="E51" s="51">
        <v>3048.2370000000001</v>
      </c>
      <c r="F51" s="50">
        <f t="shared" si="14"/>
        <v>0.28890325289437607</v>
      </c>
      <c r="G51" s="61"/>
      <c r="H51" s="51">
        <v>2473.5590000000002</v>
      </c>
      <c r="I51" s="50">
        <f t="shared" si="11"/>
        <v>0.24072294768266747</v>
      </c>
      <c r="J51" s="51">
        <v>2697.645</v>
      </c>
      <c r="K51" s="50">
        <f t="shared" si="12"/>
        <v>0.25543962465697412</v>
      </c>
      <c r="L51" s="52">
        <v>2535.4690000000001</v>
      </c>
      <c r="M51" s="50">
        <f t="shared" si="13"/>
        <v>0.25010325331542521</v>
      </c>
      <c r="N51" s="61">
        <v>2629.7379999999998</v>
      </c>
    </row>
    <row r="52" spans="1:21" ht="20.399999999999999">
      <c r="A52" s="13" t="s">
        <v>41</v>
      </c>
      <c r="B52" s="51"/>
      <c r="C52" s="38"/>
      <c r="D52" s="61"/>
      <c r="E52" s="51">
        <f>77.611+49.961+389.45</f>
        <v>517.02199999999993</v>
      </c>
      <c r="F52" s="50">
        <f t="shared" si="14"/>
        <v>4.9001878009471075E-2</v>
      </c>
      <c r="G52" s="61"/>
      <c r="H52" s="51">
        <f>495.45</f>
        <v>495.45</v>
      </c>
      <c r="I52" s="50">
        <f t="shared" si="11"/>
        <v>4.821643002223823E-2</v>
      </c>
      <c r="J52" s="51">
        <f>605.26</f>
        <v>605.26</v>
      </c>
      <c r="K52" s="50">
        <f t="shared" si="12"/>
        <v>5.7311984052712699E-2</v>
      </c>
      <c r="L52" s="52">
        <f>106.372+520.094</f>
        <v>626.46600000000001</v>
      </c>
      <c r="M52" s="50">
        <f t="shared" si="13"/>
        <v>6.1795740626882513E-2</v>
      </c>
      <c r="N52" s="61">
        <v>542.59100000000001</v>
      </c>
    </row>
    <row r="53" spans="1:21">
      <c r="A53" s="13" t="s">
        <v>45</v>
      </c>
      <c r="B53" s="51"/>
      <c r="C53" s="38"/>
      <c r="D53" s="61"/>
      <c r="E53" s="51">
        <v>1555.02</v>
      </c>
      <c r="F53" s="50">
        <f t="shared" si="14"/>
        <v>0.14738038292816885</v>
      </c>
      <c r="G53" s="61"/>
      <c r="H53" s="51">
        <v>1924.019</v>
      </c>
      <c r="I53" s="50">
        <f t="shared" si="11"/>
        <v>0.18724256226653907</v>
      </c>
      <c r="J53" s="51">
        <v>1711.9680000000001</v>
      </c>
      <c r="K53" s="50">
        <f t="shared" si="12"/>
        <v>0.16210600851659529</v>
      </c>
      <c r="L53" s="52">
        <v>1374.9549999999999</v>
      </c>
      <c r="M53" s="50">
        <f t="shared" si="13"/>
        <v>0.13562805092955602</v>
      </c>
      <c r="N53" s="61">
        <v>1700.2370000000001</v>
      </c>
    </row>
    <row r="54" spans="1:21" s="4" customFormat="1">
      <c r="A54" s="4" t="s">
        <v>47</v>
      </c>
      <c r="B54" s="49"/>
      <c r="C54" s="351"/>
      <c r="D54" s="341"/>
      <c r="E54" s="49">
        <f>SUM(E55:E58)</f>
        <v>3070.2719999999999</v>
      </c>
      <c r="F54" s="48">
        <f t="shared" si="14"/>
        <v>0.29099166766577589</v>
      </c>
      <c r="G54" s="341"/>
      <c r="H54" s="47">
        <f>SUM(H55:H58)</f>
        <v>3144.3</v>
      </c>
      <c r="I54" s="53">
        <f t="shared" si="11"/>
        <v>0.30599842752835543</v>
      </c>
      <c r="J54" s="47">
        <f>3238.76</f>
        <v>3238.76</v>
      </c>
      <c r="K54" s="53">
        <f t="shared" si="12"/>
        <v>0.30667772770472823</v>
      </c>
      <c r="L54" s="47">
        <f>SUM(L55:L58)</f>
        <v>3162.5420000000004</v>
      </c>
      <c r="M54" s="53">
        <f t="shared" si="13"/>
        <v>0.31195886952144619</v>
      </c>
      <c r="N54" s="341">
        <v>3149.8420000000001</v>
      </c>
      <c r="O54" s="8"/>
      <c r="P54" s="8"/>
      <c r="Q54" s="8"/>
      <c r="R54" s="8"/>
      <c r="S54" s="8"/>
      <c r="T54" s="8"/>
      <c r="U54" s="8"/>
    </row>
    <row r="55" spans="1:21">
      <c r="A55" s="13" t="s">
        <v>48</v>
      </c>
      <c r="B55" s="51"/>
      <c r="C55" s="38"/>
      <c r="D55" s="61"/>
      <c r="E55" s="51">
        <v>114</v>
      </c>
      <c r="F55" s="50">
        <f t="shared" si="14"/>
        <v>1.0804596502817487E-2</v>
      </c>
      <c r="G55" s="61"/>
      <c r="H55" s="51">
        <v>114</v>
      </c>
      <c r="I55" s="50">
        <f t="shared" si="11"/>
        <v>1.109430421341237E-2</v>
      </c>
      <c r="J55" s="51">
        <v>114</v>
      </c>
      <c r="K55" s="50">
        <f t="shared" si="12"/>
        <v>1.0794643924940105E-2</v>
      </c>
      <c r="L55" s="52">
        <v>114</v>
      </c>
      <c r="M55" s="50">
        <f t="shared" si="13"/>
        <v>1.1245166427969924E-2</v>
      </c>
      <c r="N55" s="61">
        <v>114</v>
      </c>
    </row>
    <row r="56" spans="1:21">
      <c r="A56" s="13" t="s">
        <v>49</v>
      </c>
      <c r="B56" s="51"/>
      <c r="C56" s="38"/>
      <c r="D56" s="61"/>
      <c r="E56" s="51">
        <v>2311.38</v>
      </c>
      <c r="F56" s="50">
        <f t="shared" si="14"/>
        <v>0.21906603740949374</v>
      </c>
      <c r="G56" s="61"/>
      <c r="H56" s="51">
        <v>2311.384</v>
      </c>
      <c r="I56" s="50">
        <f t="shared" si="11"/>
        <v>0.22494032675450823</v>
      </c>
      <c r="J56" s="51">
        <v>2311.384</v>
      </c>
      <c r="K56" s="50">
        <f t="shared" si="12"/>
        <v>0.21886462503336632</v>
      </c>
      <c r="L56" s="52">
        <v>2311.384</v>
      </c>
      <c r="M56" s="50">
        <f t="shared" si="13"/>
        <v>0.22799910314865646</v>
      </c>
      <c r="N56" s="61">
        <v>2311.384</v>
      </c>
    </row>
    <row r="57" spans="1:21">
      <c r="A57" s="13" t="s">
        <v>50</v>
      </c>
      <c r="B57" s="51"/>
      <c r="C57" s="38"/>
      <c r="D57" s="61"/>
      <c r="E57" s="51">
        <v>394.35</v>
      </c>
      <c r="F57" s="50">
        <f t="shared" si="14"/>
        <v>3.7375373955141018E-2</v>
      </c>
      <c r="G57" s="61"/>
      <c r="H57" s="51">
        <v>459.32799999999997</v>
      </c>
      <c r="I57" s="50">
        <f t="shared" si="11"/>
        <v>4.470109268191471E-2</v>
      </c>
      <c r="J57" s="51">
        <v>491.60399999999998</v>
      </c>
      <c r="K57" s="50">
        <f t="shared" si="12"/>
        <v>4.6549913439265393E-2</v>
      </c>
      <c r="L57" s="52">
        <v>436.13</v>
      </c>
      <c r="M57" s="50">
        <f t="shared" si="13"/>
        <v>4.3020652931846697E-2</v>
      </c>
      <c r="N57" s="61">
        <v>513.36</v>
      </c>
    </row>
    <row r="58" spans="1:21">
      <c r="A58" s="13" t="s">
        <v>51</v>
      </c>
      <c r="B58" s="51"/>
      <c r="C58" s="38"/>
      <c r="D58" s="61"/>
      <c r="E58" s="51">
        <v>250.542</v>
      </c>
      <c r="F58" s="50">
        <f t="shared" si="14"/>
        <v>2.3745659798323677E-2</v>
      </c>
      <c r="G58" s="61"/>
      <c r="H58" s="51">
        <v>259.58800000000002</v>
      </c>
      <c r="I58" s="50">
        <f t="shared" si="11"/>
        <v>2.5262703878520091E-2</v>
      </c>
      <c r="J58" s="51">
        <v>321.78100000000001</v>
      </c>
      <c r="K58" s="50">
        <f t="shared" si="12"/>
        <v>3.0469397515887297E-2</v>
      </c>
      <c r="L58" s="52">
        <v>301.02800000000002</v>
      </c>
      <c r="M58" s="50">
        <f t="shared" si="13"/>
        <v>2.9693947012973076E-2</v>
      </c>
      <c r="N58" s="61">
        <v>211.09800000000001</v>
      </c>
    </row>
    <row r="59" spans="1:21" s="4" customFormat="1">
      <c r="A59" s="4" t="s">
        <v>52</v>
      </c>
      <c r="B59" s="49"/>
      <c r="C59" s="351"/>
      <c r="D59" s="341"/>
      <c r="E59" s="49">
        <f>SUM(E60:E64)</f>
        <v>2565.9459999999999</v>
      </c>
      <c r="F59" s="48">
        <f t="shared" si="14"/>
        <v>0.24319308050893437</v>
      </c>
      <c r="G59" s="341"/>
      <c r="H59" s="47">
        <v>2408.71</v>
      </c>
      <c r="I59" s="48">
        <f t="shared" si="11"/>
        <v>0.23441194299902202</v>
      </c>
      <c r="J59" s="47">
        <f>2465.8</f>
        <v>2465.8000000000002</v>
      </c>
      <c r="K59" s="48">
        <f t="shared" si="12"/>
        <v>0.23348625429927466</v>
      </c>
      <c r="L59" s="47">
        <f>SUM(L60:L64)</f>
        <v>2431.9159999999997</v>
      </c>
      <c r="M59" s="48">
        <f t="shared" si="13"/>
        <v>0.23988859788458688</v>
      </c>
      <c r="N59" s="341">
        <v>2358.8539999999998</v>
      </c>
      <c r="O59" s="8"/>
      <c r="P59" s="8"/>
      <c r="Q59" s="8"/>
      <c r="R59" s="8"/>
      <c r="S59" s="8"/>
      <c r="T59" s="8"/>
      <c r="U59" s="8"/>
    </row>
    <row r="60" spans="1:21">
      <c r="A60" s="13" t="s">
        <v>53</v>
      </c>
      <c r="B60" s="51"/>
      <c r="C60" s="38"/>
      <c r="D60" s="61"/>
      <c r="E60" s="51">
        <v>1115.8900000000001</v>
      </c>
      <c r="F60" s="50">
        <f t="shared" si="14"/>
        <v>0.10576088764499129</v>
      </c>
      <c r="G60" s="61"/>
      <c r="H60" s="51">
        <v>1121.6089999999999</v>
      </c>
      <c r="I60" s="50">
        <f t="shared" si="11"/>
        <v>0.10915325837281784</v>
      </c>
      <c r="J60" s="51">
        <v>994.75</v>
      </c>
      <c r="K60" s="50">
        <v>0.1</v>
      </c>
      <c r="L60" s="52">
        <v>1025.8330000000001</v>
      </c>
      <c r="M60" s="50">
        <f t="shared" si="13"/>
        <v>0.10119002466933046</v>
      </c>
      <c r="N60" s="61">
        <v>923.976</v>
      </c>
    </row>
    <row r="61" spans="1:21">
      <c r="A61" s="13" t="s">
        <v>54</v>
      </c>
      <c r="B61" s="51"/>
      <c r="C61" s="38"/>
      <c r="D61" s="61"/>
      <c r="E61" s="51">
        <v>1333.528</v>
      </c>
      <c r="F61" s="50">
        <f t="shared" si="14"/>
        <v>0.12638799969481754</v>
      </c>
      <c r="G61" s="61"/>
      <c r="H61" s="51">
        <v>1176.7239999999999</v>
      </c>
      <c r="I61" s="50">
        <f t="shared" si="11"/>
        <v>0.11451696518617067</v>
      </c>
      <c r="J61" s="51">
        <v>1353.87</v>
      </c>
      <c r="K61" s="50">
        <f t="shared" ref="K61:K70" si="15">J61/$J$70</f>
        <v>0.12819775939174261</v>
      </c>
      <c r="L61" s="52">
        <v>1265.982</v>
      </c>
      <c r="M61" s="50">
        <f t="shared" si="13"/>
        <v>0.12487875688433527</v>
      </c>
      <c r="N61" s="61">
        <v>1298.653</v>
      </c>
    </row>
    <row r="62" spans="1:21">
      <c r="A62" s="13" t="s">
        <v>55</v>
      </c>
      <c r="B62" s="51"/>
      <c r="C62" s="38"/>
      <c r="D62" s="61"/>
      <c r="E62" s="51">
        <v>66.75</v>
      </c>
      <c r="F62" s="50">
        <f t="shared" si="14"/>
        <v>6.326375583886555E-3</v>
      </c>
      <c r="G62" s="61"/>
      <c r="H62" s="51">
        <v>56.814999999999998</v>
      </c>
      <c r="I62" s="50">
        <f t="shared" si="11"/>
        <v>5.5291481919738927E-3</v>
      </c>
      <c r="J62" s="51">
        <v>48.533999999999999</v>
      </c>
      <c r="K62" s="50">
        <f t="shared" si="15"/>
        <v>4.5956776162547636E-3</v>
      </c>
      <c r="L62" s="52">
        <v>61.006</v>
      </c>
      <c r="M62" s="50">
        <f t="shared" si="13"/>
        <v>6.0177423079362559E-3</v>
      </c>
      <c r="N62" s="61">
        <v>60.423999999999999</v>
      </c>
    </row>
    <row r="63" spans="1:21">
      <c r="A63" s="13" t="s">
        <v>56</v>
      </c>
      <c r="B63" s="51"/>
      <c r="C63" s="38"/>
      <c r="D63" s="61"/>
      <c r="E63" s="51">
        <f>1.167+12.545</f>
        <v>13.712</v>
      </c>
      <c r="F63" s="50">
        <f t="shared" si="14"/>
        <v>1.2995844495318719E-3</v>
      </c>
      <c r="G63" s="61"/>
      <c r="H63" s="51">
        <f>1.167+13.072</f>
        <v>14.238999999999999</v>
      </c>
      <c r="I63" s="50">
        <f t="shared" si="11"/>
        <v>1.3857175236384098E-3</v>
      </c>
      <c r="J63" s="51">
        <f>29.27</f>
        <v>29.27</v>
      </c>
      <c r="K63" s="50">
        <f t="shared" si="15"/>
        <v>2.7715721726578671E-3</v>
      </c>
      <c r="L63" s="52">
        <f>1.328+33.33</f>
        <v>34.658000000000001</v>
      </c>
      <c r="M63" s="50">
        <f t="shared" si="13"/>
        <v>3.4187278777244004E-3</v>
      </c>
      <c r="N63" s="61">
        <v>27.400000000000002</v>
      </c>
    </row>
    <row r="64" spans="1:21">
      <c r="A64" s="13" t="s">
        <v>57</v>
      </c>
      <c r="B64" s="51"/>
      <c r="C64" s="38"/>
      <c r="D64" s="61"/>
      <c r="E64" s="51">
        <v>36.066000000000003</v>
      </c>
      <c r="F64" s="50">
        <f t="shared" si="14"/>
        <v>3.418233135707154E-3</v>
      </c>
      <c r="G64" s="61"/>
      <c r="H64" s="51">
        <v>39.317</v>
      </c>
      <c r="I64" s="50">
        <f t="shared" si="11"/>
        <v>3.8262698136731065E-3</v>
      </c>
      <c r="J64" s="51">
        <v>39.377000000000002</v>
      </c>
      <c r="K64" s="50">
        <f t="shared" si="15"/>
        <v>3.7286025774768993E-3</v>
      </c>
      <c r="L64" s="52">
        <v>44.436999999999998</v>
      </c>
      <c r="M64" s="50">
        <f t="shared" si="13"/>
        <v>4.3833461452605221E-3</v>
      </c>
      <c r="N64" s="61">
        <v>48.401000000000003</v>
      </c>
    </row>
    <row r="65" spans="1:21" s="4" customFormat="1">
      <c r="A65" s="4" t="s">
        <v>58</v>
      </c>
      <c r="B65" s="54"/>
      <c r="C65" s="351"/>
      <c r="D65" s="79"/>
      <c r="E65" s="54">
        <f>SUM(E66:E69)</f>
        <v>4914.8470000000007</v>
      </c>
      <c r="F65" s="48">
        <f t="shared" si="14"/>
        <v>0.46581525182528971</v>
      </c>
      <c r="G65" s="79"/>
      <c r="H65" s="54">
        <f>SUM(H66:H69)</f>
        <v>4722.5330000000004</v>
      </c>
      <c r="I65" s="48">
        <f t="shared" si="11"/>
        <v>0.4595896294726225</v>
      </c>
      <c r="J65" s="54">
        <f>SUM(J66:J69)</f>
        <v>4856.2330000000002</v>
      </c>
      <c r="K65" s="48">
        <f t="shared" si="15"/>
        <v>0.45983601799599705</v>
      </c>
      <c r="L65" s="55">
        <f>SUM(L66:L69)</f>
        <v>4543.2309999999998</v>
      </c>
      <c r="M65" s="48">
        <f t="shared" si="13"/>
        <v>0.44815253259396687</v>
      </c>
      <c r="N65" s="79">
        <v>4877.3580000000002</v>
      </c>
      <c r="O65" s="8"/>
      <c r="P65" s="8"/>
      <c r="Q65" s="8"/>
      <c r="R65" s="8"/>
      <c r="S65" s="8"/>
      <c r="T65" s="8"/>
      <c r="U65" s="8"/>
    </row>
    <row r="66" spans="1:21">
      <c r="A66" s="13" t="s">
        <v>53</v>
      </c>
      <c r="B66" s="51"/>
      <c r="C66" s="38"/>
      <c r="D66" s="60"/>
      <c r="E66" s="51">
        <v>689.11800000000005</v>
      </c>
      <c r="F66" s="50">
        <f t="shared" si="14"/>
        <v>6.5312648533584053E-2</v>
      </c>
      <c r="G66" s="60"/>
      <c r="H66" s="51">
        <v>667.36099999999999</v>
      </c>
      <c r="I66" s="50">
        <f t="shared" si="11"/>
        <v>6.4946543457606074E-2</v>
      </c>
      <c r="J66" s="51">
        <v>695.82399999999996</v>
      </c>
      <c r="K66" s="50">
        <f t="shared" si="15"/>
        <v>6.5887476442346687E-2</v>
      </c>
      <c r="L66" s="51">
        <v>665.21</v>
      </c>
      <c r="M66" s="50">
        <f t="shared" si="13"/>
        <v>6.5617518943419953E-2</v>
      </c>
      <c r="N66" s="61">
        <v>790.976</v>
      </c>
    </row>
    <row r="67" spans="1:21">
      <c r="A67" s="13" t="s">
        <v>54</v>
      </c>
      <c r="B67" s="51"/>
      <c r="C67" s="38"/>
      <c r="D67" s="60"/>
      <c r="E67" s="51">
        <v>338.51900000000001</v>
      </c>
      <c r="F67" s="50">
        <f t="shared" si="14"/>
        <v>3.2083870206467309E-2</v>
      </c>
      <c r="G67" s="60"/>
      <c r="H67" s="51">
        <v>433.19799999999998</v>
      </c>
      <c r="I67" s="50">
        <f t="shared" si="11"/>
        <v>4.2158161374050977E-2</v>
      </c>
      <c r="J67" s="51">
        <v>368.83</v>
      </c>
      <c r="K67" s="50">
        <f t="shared" si="15"/>
        <v>3.4924460691540864E-2</v>
      </c>
      <c r="L67" s="51">
        <v>384.00200000000001</v>
      </c>
      <c r="M67" s="50">
        <f t="shared" si="13"/>
        <v>3.7878652619941292E-2</v>
      </c>
      <c r="N67" s="61">
        <v>433.30399999999997</v>
      </c>
    </row>
    <row r="68" spans="1:21">
      <c r="A68" s="13" t="s">
        <v>55</v>
      </c>
      <c r="B68" s="51"/>
      <c r="C68" s="38"/>
      <c r="D68" s="60"/>
      <c r="E68" s="51">
        <v>3102.57</v>
      </c>
      <c r="F68" s="50">
        <f t="shared" si="14"/>
        <v>0.29405278045391625</v>
      </c>
      <c r="G68" s="60"/>
      <c r="H68" s="51">
        <v>2729.7539999999999</v>
      </c>
      <c r="I68" s="50">
        <f t="shared" si="11"/>
        <v>0.2656554500331515</v>
      </c>
      <c r="J68" s="51">
        <v>2936.0509999999999</v>
      </c>
      <c r="K68" s="50">
        <f t="shared" si="15"/>
        <v>0.27801425517951156</v>
      </c>
      <c r="L68" s="51">
        <v>2724.1190000000001</v>
      </c>
      <c r="M68" s="50">
        <f t="shared" si="13"/>
        <v>0.26871203091750007</v>
      </c>
      <c r="N68" s="61">
        <v>2910.1529999999998</v>
      </c>
    </row>
    <row r="69" spans="1:21">
      <c r="A69" s="13" t="s">
        <v>56</v>
      </c>
      <c r="B69" s="51"/>
      <c r="C69" s="38"/>
      <c r="D69" s="60"/>
      <c r="E69" s="51">
        <f>345.22+102.21+337.21</f>
        <v>784.64</v>
      </c>
      <c r="F69" s="50">
        <f t="shared" si="14"/>
        <v>7.4365952631322049E-2</v>
      </c>
      <c r="G69" s="60"/>
      <c r="H69" s="51">
        <f>422.419+104.03+365.771</f>
        <v>892.22</v>
      </c>
      <c r="I69" s="50">
        <f t="shared" si="11"/>
        <v>8.68294746078139E-2</v>
      </c>
      <c r="J69" s="51">
        <f>391.6+97.281+366.647</f>
        <v>855.52800000000002</v>
      </c>
      <c r="K69" s="50">
        <f t="shared" si="15"/>
        <v>8.1009825682597875E-2</v>
      </c>
      <c r="L69" s="51">
        <v>769.9</v>
      </c>
      <c r="M69" s="50">
        <f t="shared" si="13"/>
        <v>7.5944330113105654E-2</v>
      </c>
      <c r="N69" s="61">
        <v>742.92499999999995</v>
      </c>
    </row>
    <row r="70" spans="1:21" s="4" customFormat="1">
      <c r="A70" s="4" t="s">
        <v>59</v>
      </c>
      <c r="B70" s="54"/>
      <c r="C70" s="351"/>
      <c r="D70" s="79"/>
      <c r="E70" s="54">
        <f>E54+E59+E65</f>
        <v>10551.065000000001</v>
      </c>
      <c r="F70" s="56">
        <f t="shared" si="14"/>
        <v>1</v>
      </c>
      <c r="G70" s="31"/>
      <c r="H70" s="55">
        <f>H54+H59+H65</f>
        <v>10275.543000000001</v>
      </c>
      <c r="I70" s="56">
        <f t="shared" si="11"/>
        <v>1</v>
      </c>
      <c r="J70" s="55">
        <f>J54+J59+J65</f>
        <v>10560.793000000001</v>
      </c>
      <c r="K70" s="56">
        <f t="shared" si="15"/>
        <v>1</v>
      </c>
      <c r="L70" s="55">
        <f>L54+L59+L65</f>
        <v>10137.689</v>
      </c>
      <c r="M70" s="56">
        <f t="shared" si="13"/>
        <v>1</v>
      </c>
      <c r="N70" s="79">
        <v>10386.054</v>
      </c>
      <c r="O70" s="8"/>
      <c r="P70" s="8"/>
      <c r="Q70" s="8"/>
      <c r="R70" s="8"/>
      <c r="S70" s="8"/>
      <c r="T70" s="8"/>
      <c r="U70" s="8"/>
    </row>
    <row r="71" spans="1:21">
      <c r="B71" s="349"/>
      <c r="D71" s="57"/>
      <c r="E71" s="347"/>
      <c r="F71" s="58"/>
      <c r="G71" s="57"/>
      <c r="H71" s="57"/>
      <c r="I71" s="58"/>
      <c r="J71" s="57"/>
      <c r="K71" s="58"/>
      <c r="L71" s="41"/>
      <c r="M71" s="58"/>
      <c r="N71" s="59"/>
    </row>
    <row r="72" spans="1:21">
      <c r="A72" s="13" t="s">
        <v>60</v>
      </c>
      <c r="B72" s="51"/>
      <c r="C72" s="306"/>
      <c r="D72" s="60"/>
      <c r="E72" s="60">
        <v>200.74</v>
      </c>
      <c r="F72" s="306">
        <f>IF((+E72/G72)&lt;0,"n.m.",IF(E72&lt;0,(+E72/G72-1)*-1,(+E72/G72-1)))</f>
        <v>-0.28747382245412278</v>
      </c>
      <c r="G72" s="60">
        <v>281.73</v>
      </c>
      <c r="H72" s="60">
        <v>-249.11</v>
      </c>
      <c r="I72" s="16">
        <f>(H72/J72)-1</f>
        <v>2.3786789637867898</v>
      </c>
      <c r="J72" s="60">
        <v>-73.73</v>
      </c>
      <c r="K72" s="16" t="s">
        <v>14</v>
      </c>
      <c r="L72" s="61">
        <v>154.55000000000001</v>
      </c>
      <c r="M72" s="16" t="s">
        <v>14</v>
      </c>
      <c r="N72" s="61">
        <v>-267.81</v>
      </c>
    </row>
    <row r="73" spans="1:21" s="62" customFormat="1">
      <c r="A73" s="62" t="s">
        <v>61</v>
      </c>
      <c r="B73" s="40"/>
      <c r="C73" s="39"/>
      <c r="D73" s="40"/>
      <c r="E73" s="40">
        <v>0.29099999999999998</v>
      </c>
      <c r="F73" s="39"/>
      <c r="G73" s="40">
        <v>0.30199999999999999</v>
      </c>
      <c r="H73" s="40">
        <v>0.30599999999999999</v>
      </c>
      <c r="I73" s="39"/>
      <c r="J73" s="40">
        <v>0.307</v>
      </c>
      <c r="K73" s="39"/>
      <c r="L73" s="63">
        <v>0.312</v>
      </c>
      <c r="M73" s="28"/>
      <c r="N73" s="63">
        <v>0.30299999999999999</v>
      </c>
      <c r="O73" s="20"/>
      <c r="P73" s="20"/>
      <c r="Q73" s="20"/>
      <c r="R73" s="20"/>
      <c r="S73" s="20"/>
      <c r="T73" s="20"/>
      <c r="U73" s="20"/>
    </row>
    <row r="74" spans="1:21" s="62" customFormat="1">
      <c r="A74" s="62" t="s">
        <v>155</v>
      </c>
      <c r="B74" s="65"/>
      <c r="C74" s="64"/>
      <c r="D74" s="65"/>
      <c r="E74" s="65">
        <v>6.5000000000000002E-2</v>
      </c>
      <c r="F74" s="64"/>
      <c r="G74" s="65">
        <v>9.0999999999999998E-2</v>
      </c>
      <c r="H74" s="65">
        <v>-7.9000000000000001E-2</v>
      </c>
      <c r="I74" s="64"/>
      <c r="J74" s="65">
        <v>-2.3E-2</v>
      </c>
      <c r="K74" s="64"/>
      <c r="L74" s="66">
        <v>4.9000000000000002E-2</v>
      </c>
      <c r="M74" s="67"/>
      <c r="N74" s="66">
        <v>-8.5000000000000006E-2</v>
      </c>
      <c r="O74" s="20"/>
      <c r="P74" s="20"/>
      <c r="Q74" s="20"/>
      <c r="R74" s="20"/>
      <c r="S74" s="20"/>
      <c r="T74" s="20"/>
      <c r="U74" s="20"/>
    </row>
    <row r="75" spans="1:21" s="62" customFormat="1">
      <c r="A75" s="62" t="s">
        <v>62</v>
      </c>
      <c r="B75" s="40"/>
      <c r="C75" s="39"/>
      <c r="D75" s="40"/>
      <c r="E75" s="40">
        <f>(E48-E65-E53+E67)/E4</f>
        <v>-1.0512805830124664E-2</v>
      </c>
      <c r="F75" s="39"/>
      <c r="G75" s="40">
        <v>3.9E-2</v>
      </c>
      <c r="H75" s="40">
        <f>(H48-H65-H53+H67)/H4</f>
        <v>-3.5611064829929415E-2</v>
      </c>
      <c r="I75" s="28"/>
      <c r="J75" s="40">
        <f>(J48-J65-J53+J67)/J4</f>
        <v>-4.4271685549765946E-3</v>
      </c>
      <c r="K75" s="28"/>
      <c r="L75" s="63">
        <f>(L48-L65-L53+L67)/L4</f>
        <v>4.3939749059421704E-3</v>
      </c>
      <c r="M75" s="28"/>
      <c r="N75" s="63">
        <v>-2.1335582745677258E-2</v>
      </c>
      <c r="O75" s="20"/>
      <c r="P75" s="20"/>
      <c r="Q75" s="20"/>
      <c r="R75" s="20"/>
      <c r="S75" s="20"/>
      <c r="T75" s="20"/>
      <c r="U75" s="20"/>
    </row>
    <row r="76" spans="1:21" s="62" customFormat="1">
      <c r="B76" s="63"/>
      <c r="C76" s="38"/>
      <c r="D76" s="57"/>
      <c r="E76" s="63"/>
      <c r="F76" s="38"/>
      <c r="G76" s="57"/>
      <c r="H76" s="63"/>
      <c r="I76" s="38"/>
      <c r="J76" s="63"/>
      <c r="K76" s="38"/>
      <c r="L76" s="57"/>
      <c r="M76" s="38"/>
      <c r="N76" s="57"/>
      <c r="O76" s="20"/>
      <c r="P76" s="20"/>
      <c r="Q76" s="20"/>
      <c r="R76" s="20"/>
      <c r="S76" s="20"/>
      <c r="T76" s="20"/>
      <c r="U76" s="20"/>
    </row>
    <row r="77" spans="1:21">
      <c r="B77" s="41"/>
      <c r="D77" s="41"/>
      <c r="E77" s="41"/>
      <c r="G77" s="41"/>
      <c r="H77" s="41"/>
      <c r="J77" s="41"/>
      <c r="L77" s="41"/>
      <c r="N77" s="41"/>
    </row>
    <row r="78" spans="1:21">
      <c r="A78" s="13" t="s">
        <v>63</v>
      </c>
      <c r="B78" s="60"/>
      <c r="C78" s="306"/>
      <c r="D78" s="60"/>
      <c r="E78" s="60">
        <f>E20</f>
        <v>-61.466000000000257</v>
      </c>
      <c r="F78" s="306">
        <f t="shared" ref="F78" si="16">IF((+E78/G78)&lt;0,"n.m.",IF(E78&lt;0,(+E78/G78-1)*-1,(+E78/G78-1)))</f>
        <v>0.3784658321030514</v>
      </c>
      <c r="G78" s="60">
        <f>G20</f>
        <v>-98.893999999999068</v>
      </c>
      <c r="H78" s="61">
        <f>H20</f>
        <v>147.50190000000151</v>
      </c>
      <c r="I78" s="14">
        <f t="shared" ref="I78:I118" si="17">IF((+H78/J78)&lt;0,"n.m.",IF(H78&lt;0,(+H78/J78-1)*-1,(+H78/J78-1)))</f>
        <v>-5.6048252911803931E-2</v>
      </c>
      <c r="J78" s="61">
        <f>J20</f>
        <v>156.26</v>
      </c>
      <c r="K78" s="16">
        <f t="shared" ref="K78:K118" si="18">(J78-L78)/L78</f>
        <v>0.42005489012884933</v>
      </c>
      <c r="L78" s="61">
        <f>L20</f>
        <v>110.03800000000118</v>
      </c>
      <c r="M78" s="16">
        <f>(L78-N78)/N78</f>
        <v>-0.54014793764887059</v>
      </c>
      <c r="N78" s="61">
        <v>239.28999999999871</v>
      </c>
    </row>
    <row r="79" spans="1:21">
      <c r="A79" s="13" t="s">
        <v>42</v>
      </c>
      <c r="B79" s="35"/>
      <c r="C79" s="306"/>
      <c r="D79" s="35"/>
      <c r="E79" s="35">
        <v>-37.950000000000003</v>
      </c>
      <c r="F79" s="306">
        <f>IF((+E79/G79)&lt;0,"n.m.",IF(E79&lt;0,(+E79/G79-1)*-1,(+E79/G79-1)))</f>
        <v>3.4203695220644259E-2</v>
      </c>
      <c r="G79" s="35">
        <v>-39.293999999999997</v>
      </c>
      <c r="H79" s="35">
        <v>0.65400000000000003</v>
      </c>
      <c r="I79" s="310" t="str">
        <f t="shared" si="17"/>
        <v>n.m.</v>
      </c>
      <c r="J79" s="35">
        <v>-36.085000000000001</v>
      </c>
      <c r="K79" s="16">
        <f t="shared" si="18"/>
        <v>-0.30248965863841959</v>
      </c>
      <c r="L79" s="68">
        <v>-51.734000000000002</v>
      </c>
      <c r="M79" s="16" t="s">
        <v>14</v>
      </c>
      <c r="N79" s="68">
        <v>20.827000000000002</v>
      </c>
    </row>
    <row r="80" spans="1:21" s="69" customFormat="1" ht="20.399999999999999">
      <c r="A80" s="69" t="s">
        <v>64</v>
      </c>
      <c r="B80" s="35"/>
      <c r="C80" s="306"/>
      <c r="D80" s="35"/>
      <c r="E80" s="35">
        <v>-3.7810000000000001</v>
      </c>
      <c r="F80" s="306">
        <f>IF((+E80/G80)&lt;0,"n.m.",IF(E80&lt;0,(+E80/G80-1)*-1,(+E80/G80-1)))</f>
        <v>-0.20567602040816335</v>
      </c>
      <c r="G80" s="35">
        <v>-3.1360000000000001</v>
      </c>
      <c r="H80" s="35">
        <v>-2.2330000000000001</v>
      </c>
      <c r="I80" s="310" t="str">
        <f t="shared" si="17"/>
        <v>n.m.</v>
      </c>
      <c r="J80" s="35">
        <v>2E-3</v>
      </c>
      <c r="K80" s="16">
        <f t="shared" si="18"/>
        <v>-0.99978007477457653</v>
      </c>
      <c r="L80" s="70">
        <v>9.0939999999999994</v>
      </c>
      <c r="M80" s="16" t="s">
        <v>14</v>
      </c>
      <c r="N80" s="68">
        <v>-2.8250000000000002</v>
      </c>
      <c r="O80" s="19"/>
      <c r="P80" s="19"/>
      <c r="Q80" s="19"/>
      <c r="R80" s="19"/>
      <c r="S80" s="19"/>
      <c r="T80" s="19"/>
      <c r="U80" s="19"/>
    </row>
    <row r="81" spans="1:21" ht="20.399999999999999">
      <c r="A81" s="13" t="s">
        <v>65</v>
      </c>
      <c r="B81" s="35"/>
      <c r="C81" s="306"/>
      <c r="D81" s="35"/>
      <c r="E81" s="35">
        <v>10.99</v>
      </c>
      <c r="F81" s="306">
        <f t="shared" ref="F81:F85" si="19">IF((+E81/G81)&lt;0,"n.m.",IF(E81&lt;0,(+E81/G81-1)*-1,(+E81/G81-1)))</f>
        <v>4.686606972756735E-2</v>
      </c>
      <c r="G81" s="35">
        <v>10.497999999999999</v>
      </c>
      <c r="H81" s="35">
        <v>36.081000000000003</v>
      </c>
      <c r="I81" s="310">
        <f t="shared" si="17"/>
        <v>29.193305439330544</v>
      </c>
      <c r="J81" s="35">
        <v>1.1950000000000001</v>
      </c>
      <c r="K81" s="16">
        <f t="shared" si="18"/>
        <v>-0.93835439773020379</v>
      </c>
      <c r="L81" s="70">
        <v>19.385000000000002</v>
      </c>
      <c r="M81" s="16">
        <f t="shared" ref="M81:M118" si="20">(L81-N81)/N81</f>
        <v>-0.52136984271993281</v>
      </c>
      <c r="N81" s="68">
        <v>40.500999999999998</v>
      </c>
    </row>
    <row r="82" spans="1:21">
      <c r="A82" s="13" t="s">
        <v>66</v>
      </c>
      <c r="B82" s="35"/>
      <c r="C82" s="306"/>
      <c r="D82" s="35"/>
      <c r="E82" s="35">
        <v>206.16</v>
      </c>
      <c r="F82" s="306">
        <f t="shared" si="19"/>
        <v>8.6447859356225898E-2</v>
      </c>
      <c r="G82" s="35">
        <v>189.756</v>
      </c>
      <c r="H82" s="35">
        <v>451.12</v>
      </c>
      <c r="I82" s="310">
        <f t="shared" si="17"/>
        <v>3.3138358205635488E-3</v>
      </c>
      <c r="J82" s="35">
        <v>449.63</v>
      </c>
      <c r="K82" s="16">
        <f t="shared" si="18"/>
        <v>7.4525923359103352E-2</v>
      </c>
      <c r="L82" s="70">
        <v>418.44499999999999</v>
      </c>
      <c r="M82" s="16">
        <f t="shared" si="20"/>
        <v>-3.954121449163598E-2</v>
      </c>
      <c r="N82" s="68">
        <v>435.67200000000003</v>
      </c>
    </row>
    <row r="83" spans="1:21">
      <c r="A83" s="13" t="s">
        <v>67</v>
      </c>
      <c r="B83" s="35"/>
      <c r="C83" s="306"/>
      <c r="D83" s="35"/>
      <c r="E83" s="35">
        <v>-9.99</v>
      </c>
      <c r="F83" s="306" t="str">
        <f t="shared" si="19"/>
        <v>n.m.</v>
      </c>
      <c r="G83" s="35">
        <v>3.2509999999999999</v>
      </c>
      <c r="H83" s="35">
        <v>19.861000000000001</v>
      </c>
      <c r="I83" s="310" t="str">
        <f t="shared" si="17"/>
        <v>n.m.</v>
      </c>
      <c r="J83" s="35">
        <v>-18.899999999999999</v>
      </c>
      <c r="K83" s="16" t="s">
        <v>14</v>
      </c>
      <c r="L83" s="70">
        <v>36.944000000000003</v>
      </c>
      <c r="M83" s="16">
        <f t="shared" si="20"/>
        <v>22.104440275171985</v>
      </c>
      <c r="N83" s="68">
        <v>1.599</v>
      </c>
    </row>
    <row r="84" spans="1:21" ht="20.399999999999999">
      <c r="A84" s="13" t="s">
        <v>68</v>
      </c>
      <c r="B84" s="35"/>
      <c r="C84" s="306"/>
      <c r="D84" s="35"/>
      <c r="E84" s="35">
        <v>-24.02</v>
      </c>
      <c r="F84" s="306">
        <f t="shared" si="19"/>
        <v>-0.56288632962456897</v>
      </c>
      <c r="G84" s="35">
        <v>-15.369</v>
      </c>
      <c r="H84" s="35">
        <v>-32.747999999999998</v>
      </c>
      <c r="I84" s="310">
        <f t="shared" si="17"/>
        <v>0.16189793724727441</v>
      </c>
      <c r="J84" s="35">
        <v>-39.073999999999998</v>
      </c>
      <c r="K84" s="16">
        <f t="shared" si="18"/>
        <v>0.16433743556125036</v>
      </c>
      <c r="L84" s="70">
        <v>-33.558999999999997</v>
      </c>
      <c r="M84" s="16">
        <f t="shared" si="20"/>
        <v>8.6931174089068738E-2</v>
      </c>
      <c r="N84" s="68">
        <v>-30.875</v>
      </c>
    </row>
    <row r="85" spans="1:21" s="4" customFormat="1">
      <c r="A85" s="4" t="s">
        <v>69</v>
      </c>
      <c r="B85" s="311"/>
      <c r="C85" s="335"/>
      <c r="D85" s="311"/>
      <c r="E85" s="311">
        <f>SUM(E78:E84)</f>
        <v>79.942999999999742</v>
      </c>
      <c r="F85" s="335">
        <f t="shared" si="19"/>
        <v>0.70774587712548453</v>
      </c>
      <c r="G85" s="311">
        <f>SUM(G78:G84)</f>
        <v>46.812000000000914</v>
      </c>
      <c r="H85" s="311">
        <v>620.23</v>
      </c>
      <c r="I85" s="5">
        <f t="shared" si="17"/>
        <v>0.20895935504494889</v>
      </c>
      <c r="J85" s="71">
        <f>SUM(J78:J84)</f>
        <v>513.02800000000002</v>
      </c>
      <c r="K85" s="7">
        <f t="shared" si="18"/>
        <v>8.6804702199881172E-3</v>
      </c>
      <c r="L85" s="72">
        <f>SUM(L78:L84)</f>
        <v>508.61300000000119</v>
      </c>
      <c r="M85" s="7">
        <f t="shared" si="20"/>
        <v>-0.27773225653907962</v>
      </c>
      <c r="N85" s="71">
        <v>704.18899999999883</v>
      </c>
      <c r="O85" s="8"/>
      <c r="P85" s="8"/>
      <c r="Q85" s="8"/>
      <c r="R85" s="8"/>
      <c r="S85" s="8"/>
      <c r="T85" s="8"/>
      <c r="U85" s="8"/>
    </row>
    <row r="86" spans="1:21" s="4" customFormat="1">
      <c r="A86" s="4" t="s">
        <v>70</v>
      </c>
      <c r="B86" s="338"/>
      <c r="C86" s="306"/>
      <c r="D86" s="338"/>
      <c r="E86" s="338"/>
      <c r="F86" s="306"/>
      <c r="G86" s="338"/>
      <c r="H86" s="34"/>
      <c r="I86" s="16"/>
      <c r="J86" s="34"/>
      <c r="K86" s="16"/>
      <c r="L86" s="73"/>
      <c r="M86" s="16"/>
      <c r="N86" s="34"/>
      <c r="O86" s="8"/>
      <c r="P86" s="8"/>
      <c r="Q86" s="8"/>
      <c r="R86" s="8"/>
      <c r="S86" s="8"/>
      <c r="T86" s="8"/>
      <c r="U86" s="8"/>
    </row>
    <row r="87" spans="1:21">
      <c r="A87" s="13" t="s">
        <v>71</v>
      </c>
      <c r="B87" s="60"/>
      <c r="C87" s="306"/>
      <c r="D87" s="60"/>
      <c r="E87" s="60">
        <v>-68.73</v>
      </c>
      <c r="F87" s="306">
        <f t="shared" ref="F87:F107" si="21">IF((+E87/G87)&lt;0,"n.m.",IF(E87&lt;0,(+E87/G87-1)*-1,(+E87/G87-1)))</f>
        <v>-4.2707055214723937</v>
      </c>
      <c r="G87" s="60">
        <v>-13.04</v>
      </c>
      <c r="H87" s="60">
        <v>79.626999999999995</v>
      </c>
      <c r="I87" s="312" t="str">
        <f t="shared" si="17"/>
        <v>n.m.</v>
      </c>
      <c r="J87" s="60">
        <v>-83.442999999999998</v>
      </c>
      <c r="K87" s="16">
        <f t="shared" si="18"/>
        <v>-0.2024030281595901</v>
      </c>
      <c r="L87" s="74">
        <v>-104.61799999999999</v>
      </c>
      <c r="M87" s="16">
        <f t="shared" si="20"/>
        <v>0.56060086221042094</v>
      </c>
      <c r="N87" s="61">
        <v>-67.037000000000006</v>
      </c>
    </row>
    <row r="88" spans="1:21" ht="20.399999999999999">
      <c r="A88" s="13" t="s">
        <v>72</v>
      </c>
      <c r="B88" s="60"/>
      <c r="C88" s="306"/>
      <c r="D88" s="60"/>
      <c r="E88" s="60">
        <v>-549.66</v>
      </c>
      <c r="F88" s="306">
        <f t="shared" si="21"/>
        <v>-1.620061109019062</v>
      </c>
      <c r="G88" s="60">
        <v>-209.78899999999999</v>
      </c>
      <c r="H88" s="60">
        <v>247.81700000000001</v>
      </c>
      <c r="I88" s="312" t="str">
        <f t="shared" si="17"/>
        <v>n.m.</v>
      </c>
      <c r="J88" s="60">
        <v>-69.016000000000005</v>
      </c>
      <c r="K88" s="16" t="s">
        <v>14</v>
      </c>
      <c r="L88" s="74">
        <v>303.221</v>
      </c>
      <c r="M88" s="16" t="s">
        <v>14</v>
      </c>
      <c r="N88" s="61">
        <v>-120.98399999999999</v>
      </c>
      <c r="O88" s="315"/>
    </row>
    <row r="89" spans="1:21" ht="30.6">
      <c r="A89" s="13" t="s">
        <v>73</v>
      </c>
      <c r="B89" s="60"/>
      <c r="C89" s="306"/>
      <c r="D89" s="60"/>
      <c r="E89" s="60">
        <v>-14.13</v>
      </c>
      <c r="F89" s="306" t="str">
        <f t="shared" si="21"/>
        <v>n.m.</v>
      </c>
      <c r="G89" s="60">
        <v>33.628999999999998</v>
      </c>
      <c r="H89" s="60">
        <v>56.6</v>
      </c>
      <c r="I89" s="312" t="str">
        <f t="shared" si="17"/>
        <v>n.m.</v>
      </c>
      <c r="J89" s="60">
        <v>-27.484000000000002</v>
      </c>
      <c r="K89" s="16">
        <f t="shared" si="18"/>
        <v>-0.6072760527556692</v>
      </c>
      <c r="L89" s="74">
        <v>-69.983000000000004</v>
      </c>
      <c r="M89" s="16">
        <f t="shared" si="20"/>
        <v>0.25186483730747911</v>
      </c>
      <c r="N89" s="61">
        <v>-55.902999999999999</v>
      </c>
    </row>
    <row r="90" spans="1:21">
      <c r="A90" s="13" t="s">
        <v>74</v>
      </c>
      <c r="B90" s="60"/>
      <c r="C90" s="306"/>
      <c r="D90" s="60"/>
      <c r="E90" s="60">
        <v>-11.03</v>
      </c>
      <c r="F90" s="306">
        <f t="shared" si="21"/>
        <v>0.50074684289141358</v>
      </c>
      <c r="G90" s="60">
        <v>-22.093</v>
      </c>
      <c r="H90" s="60">
        <v>-24.306999999999999</v>
      </c>
      <c r="I90" s="312" t="str">
        <f t="shared" si="17"/>
        <v>n.m.</v>
      </c>
      <c r="J90" s="60">
        <v>29.488</v>
      </c>
      <c r="K90" s="16">
        <f t="shared" si="18"/>
        <v>0.10099690101930323</v>
      </c>
      <c r="L90" s="74">
        <v>26.783000000000001</v>
      </c>
      <c r="M90" s="16">
        <f t="shared" si="20"/>
        <v>5.0349256421811637</v>
      </c>
      <c r="N90" s="61">
        <v>4.4379999999999997</v>
      </c>
    </row>
    <row r="91" spans="1:21" ht="23.25" customHeight="1">
      <c r="A91" s="13" t="s">
        <v>75</v>
      </c>
      <c r="B91" s="60"/>
      <c r="C91" s="306"/>
      <c r="D91" s="60"/>
      <c r="E91" s="60">
        <v>367.51</v>
      </c>
      <c r="F91" s="306">
        <f t="shared" si="21"/>
        <v>4.0742827161516582</v>
      </c>
      <c r="G91" s="60">
        <v>72.426000000000002</v>
      </c>
      <c r="H91" s="60">
        <v>-167.01400000000001</v>
      </c>
      <c r="I91" s="312" t="str">
        <f t="shared" si="17"/>
        <v>n.m.</v>
      </c>
      <c r="J91" s="60">
        <v>224.124</v>
      </c>
      <c r="K91" s="16" t="s">
        <v>14</v>
      </c>
      <c r="L91" s="74">
        <v>-252.28</v>
      </c>
      <c r="M91" s="16">
        <f t="shared" si="20"/>
        <v>25.611814345991561</v>
      </c>
      <c r="N91" s="61">
        <v>-9.48</v>
      </c>
    </row>
    <row r="92" spans="1:21" ht="30.6">
      <c r="A92" s="13" t="s">
        <v>76</v>
      </c>
      <c r="B92" s="60"/>
      <c r="C92" s="306"/>
      <c r="D92" s="60"/>
      <c r="E92" s="60">
        <v>-13.64</v>
      </c>
      <c r="F92" s="306" t="str">
        <f t="shared" si="21"/>
        <v>n.m.</v>
      </c>
      <c r="G92" s="60">
        <v>4.3879999999999999</v>
      </c>
      <c r="H92" s="60">
        <v>4.4329999999999998</v>
      </c>
      <c r="I92" s="312">
        <f t="shared" si="17"/>
        <v>-0.90159167092148196</v>
      </c>
      <c r="J92" s="60">
        <v>45.046999999999997</v>
      </c>
      <c r="K92" s="16">
        <f t="shared" si="18"/>
        <v>6.1333333333333329</v>
      </c>
      <c r="L92" s="74">
        <v>6.3150000000000004</v>
      </c>
      <c r="M92" s="16">
        <f t="shared" si="20"/>
        <v>-4.8085619535725044E-2</v>
      </c>
      <c r="N92" s="61">
        <v>6.6340000000000003</v>
      </c>
    </row>
    <row r="93" spans="1:21">
      <c r="A93" s="13" t="s">
        <v>77</v>
      </c>
      <c r="B93" s="60"/>
      <c r="C93" s="306"/>
      <c r="D93" s="60"/>
      <c r="E93" s="60">
        <v>-99.57</v>
      </c>
      <c r="F93" s="306">
        <f t="shared" si="21"/>
        <v>-0.15899011767992444</v>
      </c>
      <c r="G93" s="60">
        <v>-85.911000000000001</v>
      </c>
      <c r="H93" s="60">
        <v>21.402000000000001</v>
      </c>
      <c r="I93" s="312">
        <f t="shared" si="17"/>
        <v>-0.247230136119025</v>
      </c>
      <c r="J93" s="60">
        <v>28.431000000000001</v>
      </c>
      <c r="K93" s="16" t="s">
        <v>14</v>
      </c>
      <c r="L93" s="74">
        <v>-70.12</v>
      </c>
      <c r="M93" s="16">
        <f t="shared" si="20"/>
        <v>1.4287347164975239</v>
      </c>
      <c r="N93" s="61">
        <v>-28.870999999999999</v>
      </c>
    </row>
    <row r="94" spans="1:21">
      <c r="A94" s="13" t="s">
        <v>78</v>
      </c>
      <c r="B94" s="60"/>
      <c r="C94" s="306"/>
      <c r="D94" s="60"/>
      <c r="E94" s="60">
        <v>19.239999999999998</v>
      </c>
      <c r="F94" s="306" t="str">
        <f t="shared" si="21"/>
        <v>n.m.</v>
      </c>
      <c r="G94" s="60">
        <v>-7.6029999999999998</v>
      </c>
      <c r="H94" s="60">
        <v>-33.463999999999999</v>
      </c>
      <c r="I94" s="312" t="str">
        <f t="shared" si="17"/>
        <v>n.m.</v>
      </c>
      <c r="J94" s="60">
        <v>33.521000000000001</v>
      </c>
      <c r="K94" s="16" t="s">
        <v>14</v>
      </c>
      <c r="L94" s="74">
        <v>-79.13</v>
      </c>
      <c r="M94" s="16" t="s">
        <v>14</v>
      </c>
      <c r="N94" s="61">
        <v>68.16</v>
      </c>
    </row>
    <row r="95" spans="1:21" s="4" customFormat="1" ht="20.399999999999999">
      <c r="A95" s="4" t="s">
        <v>79</v>
      </c>
      <c r="B95" s="311"/>
      <c r="C95" s="335"/>
      <c r="D95" s="311"/>
      <c r="E95" s="311">
        <f>SUM(E85:E94)</f>
        <v>-290.06700000000018</v>
      </c>
      <c r="F95" s="335">
        <f t="shared" si="21"/>
        <v>-0.60097913136588077</v>
      </c>
      <c r="G95" s="311">
        <f>SUM(G85:G94)</f>
        <v>-181.18099999999907</v>
      </c>
      <c r="H95" s="71">
        <v>805.33</v>
      </c>
      <c r="I95" s="5">
        <f t="shared" si="17"/>
        <v>0.16092640003690373</v>
      </c>
      <c r="J95" s="71">
        <f>SUM(J85:J94)</f>
        <v>693.69600000000003</v>
      </c>
      <c r="K95" s="7">
        <f t="shared" si="18"/>
        <v>1.5807046848783917</v>
      </c>
      <c r="L95" s="72">
        <f>SUM(L85:L94)</f>
        <v>268.80100000000135</v>
      </c>
      <c r="M95" s="7">
        <f t="shared" si="20"/>
        <v>-0.46362736607694754</v>
      </c>
      <c r="N95" s="71">
        <v>501.14599999999871</v>
      </c>
      <c r="O95" s="8"/>
      <c r="P95" s="8"/>
      <c r="Q95" s="8"/>
      <c r="R95" s="8"/>
      <c r="S95" s="8"/>
      <c r="T95" s="8"/>
      <c r="U95" s="8"/>
    </row>
    <row r="96" spans="1:21">
      <c r="A96" s="13" t="s">
        <v>80</v>
      </c>
      <c r="B96" s="60"/>
      <c r="C96" s="306"/>
      <c r="D96" s="24"/>
      <c r="E96" s="60">
        <v>-7.7290000000000001</v>
      </c>
      <c r="F96" s="306">
        <f t="shared" si="21"/>
        <v>-0.83586698337292176</v>
      </c>
      <c r="G96" s="24">
        <v>-4.21</v>
      </c>
      <c r="H96" s="60">
        <v>-21.024000000000001</v>
      </c>
      <c r="I96" s="14">
        <f t="shared" si="17"/>
        <v>8.0877852583719378E-2</v>
      </c>
      <c r="J96" s="60">
        <v>-22.873999999999999</v>
      </c>
      <c r="K96" s="16">
        <f t="shared" si="18"/>
        <v>-0.44441475796070051</v>
      </c>
      <c r="L96" s="25">
        <v>-41.170999999999999</v>
      </c>
      <c r="M96" s="16">
        <f t="shared" si="20"/>
        <v>-0.74464746452317165</v>
      </c>
      <c r="N96" s="61">
        <v>-161.232</v>
      </c>
    </row>
    <row r="97" spans="1:21" ht="20.399999999999999">
      <c r="A97" s="13" t="s">
        <v>81</v>
      </c>
      <c r="B97" s="60"/>
      <c r="C97" s="306"/>
      <c r="D97" s="24"/>
      <c r="E97" s="60">
        <v>-160.48699999999999</v>
      </c>
      <c r="F97" s="306">
        <f t="shared" si="21"/>
        <v>3.3432105903468012E-2</v>
      </c>
      <c r="G97" s="24">
        <v>-166.03800000000001</v>
      </c>
      <c r="H97" s="60">
        <v>-346.48700000000002</v>
      </c>
      <c r="I97" s="14">
        <f t="shared" si="17"/>
        <v>0.10551914105963167</v>
      </c>
      <c r="J97" s="60">
        <v>-387.36099999999999</v>
      </c>
      <c r="K97" s="16">
        <f t="shared" si="18"/>
        <v>-0.15475590410292336</v>
      </c>
      <c r="L97" s="25">
        <v>-458.28300000000002</v>
      </c>
      <c r="M97" s="16">
        <f t="shared" si="20"/>
        <v>-3.9541024834957479E-2</v>
      </c>
      <c r="N97" s="61">
        <v>-477.15</v>
      </c>
    </row>
    <row r="98" spans="1:21" ht="20.399999999999999">
      <c r="A98" s="13" t="s">
        <v>82</v>
      </c>
      <c r="B98" s="60"/>
      <c r="C98" s="306"/>
      <c r="D98" s="24"/>
      <c r="E98" s="60">
        <v>24.015999999999998</v>
      </c>
      <c r="F98" s="306">
        <f t="shared" si="21"/>
        <v>0.56262606545643812</v>
      </c>
      <c r="G98" s="24">
        <v>15.369</v>
      </c>
      <c r="H98" s="60">
        <v>32.747999999999998</v>
      </c>
      <c r="I98" s="14">
        <f t="shared" si="17"/>
        <v>-0.16189793724727441</v>
      </c>
      <c r="J98" s="60">
        <v>39.073999999999998</v>
      </c>
      <c r="K98" s="16">
        <f t="shared" si="18"/>
        <v>0.16433743556125036</v>
      </c>
      <c r="L98" s="75">
        <v>33.558999999999997</v>
      </c>
      <c r="M98" s="76">
        <f t="shared" si="20"/>
        <v>8.6931174089068738E-2</v>
      </c>
      <c r="N98" s="74">
        <v>30.875</v>
      </c>
    </row>
    <row r="99" spans="1:21" ht="20.399999999999999">
      <c r="A99" s="13" t="s">
        <v>83</v>
      </c>
      <c r="B99" s="60"/>
      <c r="C99" s="306"/>
      <c r="D99" s="24"/>
      <c r="E99" s="60">
        <v>35.298000000000002</v>
      </c>
      <c r="F99" s="306">
        <f t="shared" si="21"/>
        <v>0.97427149169416638</v>
      </c>
      <c r="G99" s="24">
        <v>17.879000000000001</v>
      </c>
      <c r="H99" s="60">
        <v>57.360999999999997</v>
      </c>
      <c r="I99" s="14">
        <f t="shared" si="17"/>
        <v>0.23039468039468036</v>
      </c>
      <c r="J99" s="60">
        <v>46.62</v>
      </c>
      <c r="K99" s="16">
        <f t="shared" si="18"/>
        <v>0.17454398871309074</v>
      </c>
      <c r="L99" s="75">
        <v>39.692</v>
      </c>
      <c r="M99" s="76">
        <f t="shared" si="20"/>
        <v>-0.59082099707228575</v>
      </c>
      <c r="N99" s="74">
        <v>97.004000000000005</v>
      </c>
    </row>
    <row r="100" spans="1:21" ht="20.399999999999999">
      <c r="A100" s="13" t="s">
        <v>84</v>
      </c>
      <c r="B100" s="60"/>
      <c r="C100" s="306"/>
      <c r="D100" s="24"/>
      <c r="E100" s="60">
        <v>-0.97399999999999998</v>
      </c>
      <c r="F100" s="306" t="str">
        <f t="shared" si="21"/>
        <v>n.m.</v>
      </c>
      <c r="G100" s="24">
        <v>3.1429999999999998</v>
      </c>
      <c r="H100" s="60">
        <v>-98.606999999999999</v>
      </c>
      <c r="I100" s="310" t="str">
        <f t="shared" si="17"/>
        <v>n.m.</v>
      </c>
      <c r="J100" s="60">
        <v>2.75</v>
      </c>
      <c r="K100" s="16">
        <f t="shared" si="18"/>
        <v>12.546798029556649</v>
      </c>
      <c r="L100" s="75">
        <v>0.20300000000000001</v>
      </c>
      <c r="M100" s="76">
        <f t="shared" si="20"/>
        <v>-0.97553037608486026</v>
      </c>
      <c r="N100" s="74">
        <v>8.2959999999999994</v>
      </c>
    </row>
    <row r="101" spans="1:21">
      <c r="A101" s="13" t="s">
        <v>85</v>
      </c>
      <c r="B101" s="60"/>
      <c r="C101" s="306"/>
      <c r="D101" s="24"/>
      <c r="E101" s="60">
        <v>4.327</v>
      </c>
      <c r="F101" s="306" t="str">
        <f t="shared" si="21"/>
        <v>n.m.</v>
      </c>
      <c r="G101" s="24">
        <v>-3.3260000000000001</v>
      </c>
      <c r="H101" s="60">
        <v>-59.292000000000002</v>
      </c>
      <c r="I101" s="14">
        <f t="shared" si="17"/>
        <v>-4.5983382116891702</v>
      </c>
      <c r="J101" s="60">
        <v>-10.590999999999999</v>
      </c>
      <c r="K101" s="16">
        <f t="shared" si="18"/>
        <v>-0.50021235430135436</v>
      </c>
      <c r="L101" s="75">
        <v>-21.190999999999999</v>
      </c>
      <c r="M101" s="76">
        <f t="shared" si="20"/>
        <v>-0.81388874251286647</v>
      </c>
      <c r="N101" s="74">
        <v>-113.86199999999999</v>
      </c>
    </row>
    <row r="102" spans="1:21" s="4" customFormat="1" ht="20.399999999999999">
      <c r="A102" s="4" t="s">
        <v>86</v>
      </c>
      <c r="B102" s="311"/>
      <c r="C102" s="335"/>
      <c r="D102" s="311"/>
      <c r="E102" s="311">
        <f>SUM(E96:E101)</f>
        <v>-105.54900000000002</v>
      </c>
      <c r="F102" s="335">
        <f t="shared" si="21"/>
        <v>0.2305970856447227</v>
      </c>
      <c r="G102" s="311">
        <f>SUM(G96:G101)</f>
        <v>-137.18300000000002</v>
      </c>
      <c r="H102" s="71">
        <f>SUM(H96:H101)</f>
        <v>-435.30100000000004</v>
      </c>
      <c r="I102" s="348">
        <f t="shared" si="17"/>
        <v>-0.30964071459946707</v>
      </c>
      <c r="J102" s="71">
        <f>SUM(J96:J101)</f>
        <v>-332.38200000000001</v>
      </c>
      <c r="K102" s="7">
        <f t="shared" si="18"/>
        <v>-0.2567336999179321</v>
      </c>
      <c r="L102" s="72">
        <f>SUM(L96:L101)</f>
        <v>-447.19099999999997</v>
      </c>
      <c r="M102" s="77">
        <f t="shared" si="20"/>
        <v>-0.27412189219064748</v>
      </c>
      <c r="N102" s="72">
        <v>-616.06899999999996</v>
      </c>
      <c r="O102" s="8"/>
      <c r="P102" s="8"/>
      <c r="Q102" s="8"/>
      <c r="R102" s="8"/>
      <c r="S102" s="8"/>
      <c r="T102" s="8"/>
      <c r="U102" s="8"/>
    </row>
    <row r="103" spans="1:21">
      <c r="A103" s="13" t="s">
        <v>87</v>
      </c>
      <c r="B103" s="60"/>
      <c r="C103" s="306"/>
      <c r="D103" s="24"/>
      <c r="E103" s="60">
        <v>-37.825000000000003</v>
      </c>
      <c r="F103" s="306">
        <f t="shared" si="21"/>
        <v>0.19558929862617491</v>
      </c>
      <c r="G103" s="24">
        <v>-47.021999999999998</v>
      </c>
      <c r="H103" s="60">
        <v>-92.247</v>
      </c>
      <c r="I103" s="318">
        <f t="shared" si="17"/>
        <v>-0.97012152147448893</v>
      </c>
      <c r="J103" s="60">
        <v>-46.823</v>
      </c>
      <c r="K103" s="16">
        <f t="shared" si="18"/>
        <v>-0.80818028750629867</v>
      </c>
      <c r="L103" s="75">
        <v>-244.09899999999999</v>
      </c>
      <c r="M103" s="76" t="s">
        <v>14</v>
      </c>
      <c r="N103" s="70">
        <v>79.173000000000002</v>
      </c>
    </row>
    <row r="104" spans="1:21">
      <c r="A104" s="13" t="s">
        <v>88</v>
      </c>
      <c r="B104" s="35"/>
      <c r="C104" s="306"/>
      <c r="D104" s="344"/>
      <c r="E104" s="35">
        <v>100</v>
      </c>
      <c r="F104" s="306" t="str">
        <f t="shared" si="21"/>
        <v>n.m.</v>
      </c>
      <c r="G104" s="344">
        <v>-7.5</v>
      </c>
      <c r="H104" s="35">
        <v>-7.5</v>
      </c>
      <c r="I104" s="310" t="str">
        <f t="shared" si="17"/>
        <v>n.m.</v>
      </c>
      <c r="J104" s="35">
        <v>105</v>
      </c>
      <c r="K104" s="16">
        <f t="shared" si="18"/>
        <v>-0.36363636363636365</v>
      </c>
      <c r="L104" s="78">
        <f>140+25</f>
        <v>165</v>
      </c>
      <c r="M104" s="76">
        <f>(L104-N104)/N104</f>
        <v>0.65</v>
      </c>
      <c r="N104" s="70">
        <v>100</v>
      </c>
    </row>
    <row r="105" spans="1:21" ht="20.399999999999999">
      <c r="A105" s="13" t="s">
        <v>89</v>
      </c>
      <c r="B105" s="35"/>
      <c r="C105" s="306"/>
      <c r="D105" s="35"/>
      <c r="E105" s="35">
        <v>-0.40100000000000002</v>
      </c>
      <c r="F105" s="306">
        <f t="shared" si="21"/>
        <v>0.69621212121212128</v>
      </c>
      <c r="G105" s="35">
        <v>-1.32</v>
      </c>
      <c r="H105" s="35">
        <v>-11.340999999999999</v>
      </c>
      <c r="I105" s="14">
        <f t="shared" si="17"/>
        <v>0.44941256432663368</v>
      </c>
      <c r="J105" s="35">
        <v>-20.597999999999999</v>
      </c>
      <c r="K105" s="16">
        <f t="shared" si="18"/>
        <v>4.6572370227959352</v>
      </c>
      <c r="L105" s="70">
        <v>-3.641</v>
      </c>
      <c r="M105" s="76">
        <f>(L105-N105)/N105</f>
        <v>-0.77455108359133129</v>
      </c>
      <c r="N105" s="74">
        <v>-16.149999999999999</v>
      </c>
    </row>
    <row r="106" spans="1:21" ht="20.399999999999999">
      <c r="A106" s="13" t="s">
        <v>84</v>
      </c>
      <c r="B106" s="60"/>
      <c r="C106" s="306"/>
      <c r="D106" s="344"/>
      <c r="E106" s="60">
        <v>5.3310000000000004</v>
      </c>
      <c r="F106" s="306" t="str">
        <f t="shared" si="21"/>
        <v>n.m.</v>
      </c>
      <c r="G106" s="344">
        <v>-7.5739999999999998</v>
      </c>
      <c r="H106" s="60">
        <v>23.584</v>
      </c>
      <c r="I106" s="14">
        <f t="shared" si="17"/>
        <v>9.7985347985347975</v>
      </c>
      <c r="J106" s="60">
        <v>2.1840000000000002</v>
      </c>
      <c r="K106" s="16">
        <f t="shared" si="18"/>
        <v>-0.70712082606946491</v>
      </c>
      <c r="L106" s="78">
        <v>7.4569999999999999</v>
      </c>
      <c r="M106" s="76">
        <f t="shared" si="20"/>
        <v>-0.42354669140383427</v>
      </c>
      <c r="N106" s="74">
        <v>12.936</v>
      </c>
    </row>
    <row r="107" spans="1:21" ht="20.399999999999999">
      <c r="A107" s="23" t="s">
        <v>90</v>
      </c>
      <c r="B107" s="35"/>
      <c r="C107" s="345"/>
      <c r="D107" s="35"/>
      <c r="E107" s="35">
        <v>-0.122</v>
      </c>
      <c r="F107" s="306">
        <f t="shared" si="21"/>
        <v>-23.4</v>
      </c>
      <c r="G107" s="35">
        <v>-5.0000000000000001E-3</v>
      </c>
      <c r="H107" s="60">
        <v>2.7090000000000001</v>
      </c>
      <c r="I107" s="14">
        <f t="shared" si="17"/>
        <v>6.9442815249266863</v>
      </c>
      <c r="J107" s="60">
        <v>0.34100000000000003</v>
      </c>
      <c r="K107" s="16">
        <f t="shared" si="18"/>
        <v>-0.97045060658578863</v>
      </c>
      <c r="L107" s="75">
        <v>11.54</v>
      </c>
      <c r="M107" s="76" t="s">
        <v>14</v>
      </c>
      <c r="N107" s="74">
        <v>-5.4139999999999997</v>
      </c>
    </row>
    <row r="108" spans="1:21">
      <c r="A108" s="69" t="s">
        <v>91</v>
      </c>
      <c r="B108" s="35"/>
      <c r="C108" s="345"/>
      <c r="D108" s="35"/>
      <c r="E108" s="35">
        <v>0</v>
      </c>
      <c r="F108" s="306"/>
      <c r="G108" s="35">
        <v>0</v>
      </c>
      <c r="H108" s="35">
        <v>0</v>
      </c>
      <c r="I108" s="14">
        <f t="shared" si="17"/>
        <v>-1</v>
      </c>
      <c r="J108" s="35">
        <v>-8.8629999999999995</v>
      </c>
      <c r="K108" s="16">
        <f t="shared" si="18"/>
        <v>-0.79330690298507467</v>
      </c>
      <c r="L108" s="70">
        <v>-42.88</v>
      </c>
      <c r="M108" s="76">
        <f t="shared" si="20"/>
        <v>-0.76850902102205865</v>
      </c>
      <c r="N108" s="70">
        <v>-185.23400000000001</v>
      </c>
    </row>
    <row r="109" spans="1:21" ht="20.399999999999999">
      <c r="A109" s="13" t="s">
        <v>92</v>
      </c>
      <c r="B109" s="60"/>
      <c r="C109" s="306"/>
      <c r="D109" s="24"/>
      <c r="E109" s="60">
        <v>-55.125</v>
      </c>
      <c r="F109" s="306">
        <f t="shared" ref="F109:F118" si="22">IF((+E109/G109)&lt;0,"n.m.",IF(E109&lt;0,(+E109/G109-1)*-1,(+E109/G109-1)))</f>
        <v>-11.536957016147372</v>
      </c>
      <c r="G109" s="24">
        <v>-4.3970000000000002</v>
      </c>
      <c r="H109" s="60">
        <v>-57.628</v>
      </c>
      <c r="I109" s="14">
        <f t="shared" si="17"/>
        <v>-0.52741922658962603</v>
      </c>
      <c r="J109" s="60">
        <v>-37.728999999999999</v>
      </c>
      <c r="K109" s="16">
        <f t="shared" si="18"/>
        <v>-0.45822025014718759</v>
      </c>
      <c r="L109" s="25">
        <v>-69.638999999999996</v>
      </c>
      <c r="M109" s="16">
        <f t="shared" si="20"/>
        <v>3.912440127131922E-2</v>
      </c>
      <c r="N109" s="61">
        <v>-67.016999999999996</v>
      </c>
    </row>
    <row r="110" spans="1:21" s="4" customFormat="1" ht="20.399999999999999">
      <c r="A110" s="4" t="s">
        <v>93</v>
      </c>
      <c r="B110" s="311"/>
      <c r="C110" s="335"/>
      <c r="D110" s="311"/>
      <c r="E110" s="311">
        <f>SUM(E103:E109)</f>
        <v>11.85799999999999</v>
      </c>
      <c r="F110" s="335" t="str">
        <f t="shared" si="22"/>
        <v>n.m.</v>
      </c>
      <c r="G110" s="311">
        <f>SUM(G103:G109)</f>
        <v>-67.817999999999998</v>
      </c>
      <c r="H110" s="311">
        <f>-142.424</f>
        <v>-142.42400000000001</v>
      </c>
      <c r="I110" s="5">
        <f t="shared" si="17"/>
        <v>-20.951911220715168</v>
      </c>
      <c r="J110" s="71">
        <f>SUM(J103:J109)</f>
        <v>-6.4879999999999995</v>
      </c>
      <c r="K110" s="7">
        <f t="shared" si="18"/>
        <v>-0.96319115861615101</v>
      </c>
      <c r="L110" s="71">
        <f>SUM(L103:L109)</f>
        <v>-176.262</v>
      </c>
      <c r="M110" s="7">
        <f t="shared" si="20"/>
        <v>1.1572711918341374</v>
      </c>
      <c r="N110" s="71">
        <v>-81.705999999999989</v>
      </c>
      <c r="O110" s="8"/>
      <c r="P110" s="8"/>
      <c r="Q110" s="8"/>
      <c r="R110" s="8"/>
      <c r="S110" s="8"/>
      <c r="T110" s="8"/>
      <c r="U110" s="8"/>
    </row>
    <row r="111" spans="1:21" s="4" customFormat="1" ht="20.399999999999999">
      <c r="A111" s="4" t="s">
        <v>94</v>
      </c>
      <c r="B111" s="337"/>
      <c r="C111" s="335"/>
      <c r="D111" s="79"/>
      <c r="E111" s="337">
        <f>E95+E102+E110</f>
        <v>-383.75800000000021</v>
      </c>
      <c r="F111" s="335">
        <f t="shared" si="22"/>
        <v>6.2768332029946583E-3</v>
      </c>
      <c r="G111" s="79">
        <f>G95+G102+G110</f>
        <v>-386.18199999999911</v>
      </c>
      <c r="H111" s="79">
        <f>H95+H102+H110</f>
        <v>227.60499999999999</v>
      </c>
      <c r="I111" s="5">
        <f t="shared" si="17"/>
        <v>-0.35854475151200882</v>
      </c>
      <c r="J111" s="79">
        <f>J95+J102+J110</f>
        <v>354.82600000000002</v>
      </c>
      <c r="K111" s="7">
        <f t="shared" si="18"/>
        <v>-2.0004906217926348</v>
      </c>
      <c r="L111" s="79">
        <f>L95+L102+L110</f>
        <v>-354.65199999999862</v>
      </c>
      <c r="M111" s="7">
        <f t="shared" si="20"/>
        <v>0.80366070111731425</v>
      </c>
      <c r="N111" s="79">
        <v>-196.62900000000124</v>
      </c>
      <c r="O111" s="8"/>
      <c r="P111" s="8"/>
      <c r="Q111" s="8"/>
      <c r="R111" s="8"/>
      <c r="S111" s="8"/>
      <c r="T111" s="8"/>
      <c r="U111" s="8"/>
    </row>
    <row r="112" spans="1:21" ht="20.399999999999999">
      <c r="A112" s="13" t="s">
        <v>95</v>
      </c>
      <c r="B112" s="60"/>
      <c r="C112" s="306"/>
      <c r="D112" s="25"/>
      <c r="E112" s="60">
        <f>H115</f>
        <v>1906.0420000000001</v>
      </c>
      <c r="F112" s="306">
        <f t="shared" si="22"/>
        <v>0.13138362913278323</v>
      </c>
      <c r="G112" s="25">
        <f>J115</f>
        <v>1684.7</v>
      </c>
      <c r="H112" s="61">
        <f>J115</f>
        <v>1684.7</v>
      </c>
      <c r="I112" s="14">
        <f t="shared" si="17"/>
        <v>0.24731058603681455</v>
      </c>
      <c r="J112" s="61">
        <f>L115</f>
        <v>1350.6659999999999</v>
      </c>
      <c r="K112" s="16">
        <f t="shared" si="18"/>
        <v>-0.20013099539324916</v>
      </c>
      <c r="L112" s="25">
        <f>N115</f>
        <v>1688.6089999999988</v>
      </c>
      <c r="M112" s="16">
        <f t="shared" si="20"/>
        <v>-0.12197677405399621</v>
      </c>
      <c r="N112" s="79">
        <v>1923.194</v>
      </c>
    </row>
    <row r="113" spans="1:21" ht="30.6">
      <c r="A113" s="13" t="s">
        <v>96</v>
      </c>
      <c r="B113" s="60"/>
      <c r="C113" s="306"/>
      <c r="D113" s="24"/>
      <c r="E113" s="60">
        <v>14.759</v>
      </c>
      <c r="F113" s="306" t="str">
        <f t="shared" si="22"/>
        <v>n.m.</v>
      </c>
      <c r="G113" s="24">
        <v>-7.2009999999999996</v>
      </c>
      <c r="H113" s="60">
        <v>-15.55</v>
      </c>
      <c r="I113" s="14">
        <f t="shared" si="17"/>
        <v>0.12733598967394344</v>
      </c>
      <c r="J113" s="60">
        <v>-17.818999999999999</v>
      </c>
      <c r="K113" s="16">
        <f t="shared" si="18"/>
        <v>-1.6067075246850526</v>
      </c>
      <c r="L113" s="25">
        <v>29.37</v>
      </c>
      <c r="M113" s="16" t="s">
        <v>14</v>
      </c>
      <c r="N113" s="61">
        <v>-55.585999999999999</v>
      </c>
    </row>
    <row r="114" spans="1:21" ht="20.399999999999999">
      <c r="A114" s="13" t="s">
        <v>97</v>
      </c>
      <c r="B114" s="60"/>
      <c r="C114" s="306"/>
      <c r="D114" s="60"/>
      <c r="E114" s="60">
        <v>0.38600000000000001</v>
      </c>
      <c r="F114" s="306">
        <f t="shared" si="22"/>
        <v>-0.93555926544240398</v>
      </c>
      <c r="G114" s="60">
        <v>5.99</v>
      </c>
      <c r="H114" s="60">
        <v>9.2870000000000008</v>
      </c>
      <c r="I114" s="310" t="str">
        <f t="shared" si="17"/>
        <v>n.m.</v>
      </c>
      <c r="J114" s="60">
        <v>-2.9820000000000002</v>
      </c>
      <c r="K114" s="16">
        <f t="shared" si="18"/>
        <v>-0.76447358028591728</v>
      </c>
      <c r="L114" s="61">
        <v>-12.661</v>
      </c>
      <c r="M114" s="16" t="s">
        <v>14</v>
      </c>
      <c r="N114" s="61">
        <v>17.63</v>
      </c>
    </row>
    <row r="115" spans="1:21" s="4" customFormat="1" ht="20.399999999999999">
      <c r="A115" s="4" t="s">
        <v>98</v>
      </c>
      <c r="B115" s="79"/>
      <c r="C115" s="335"/>
      <c r="D115" s="79"/>
      <c r="E115" s="79">
        <f>E111+E112+E113+E114</f>
        <v>1537.4289999999999</v>
      </c>
      <c r="F115" s="335">
        <f t="shared" si="22"/>
        <v>0.18509265732783287</v>
      </c>
      <c r="G115" s="79">
        <f>G111+G112+G113+G114</f>
        <v>1297.3070000000009</v>
      </c>
      <c r="H115" s="79">
        <f>H111+H112+H113+H114</f>
        <v>1906.0420000000001</v>
      </c>
      <c r="I115" s="5">
        <f t="shared" si="17"/>
        <v>0.13138362913278323</v>
      </c>
      <c r="J115" s="79">
        <v>1684.7</v>
      </c>
      <c r="K115" s="7">
        <f t="shared" si="18"/>
        <v>0.24731058603681452</v>
      </c>
      <c r="L115" s="79">
        <f>L111+L112+L113+L114</f>
        <v>1350.6659999999999</v>
      </c>
      <c r="M115" s="16">
        <f t="shared" si="20"/>
        <v>-0.20013099539324916</v>
      </c>
      <c r="N115" s="79">
        <v>1688.6089999999988</v>
      </c>
      <c r="O115" s="8"/>
      <c r="P115" s="8"/>
      <c r="Q115" s="8"/>
      <c r="R115" s="8"/>
      <c r="S115" s="8"/>
      <c r="T115" s="8"/>
      <c r="U115" s="8"/>
    </row>
    <row r="116" spans="1:21">
      <c r="A116" s="13" t="s">
        <v>99</v>
      </c>
      <c r="B116" s="80"/>
      <c r="C116" s="306"/>
      <c r="D116" s="346"/>
      <c r="E116" s="80">
        <v>41.115000000000002</v>
      </c>
      <c r="F116" s="306">
        <f t="shared" si="22"/>
        <v>6.1423257635082606E-3</v>
      </c>
      <c r="G116" s="346">
        <v>40.863999999999997</v>
      </c>
      <c r="H116" s="80">
        <v>62.314</v>
      </c>
      <c r="I116" s="14">
        <f t="shared" si="17"/>
        <v>-3.9697950377562075E-2</v>
      </c>
      <c r="J116" s="80">
        <v>64.89</v>
      </c>
      <c r="K116" s="16">
        <f t="shared" si="18"/>
        <v>-9.4562350872786652E-2</v>
      </c>
      <c r="L116" s="81">
        <v>71.667000000000002</v>
      </c>
      <c r="M116" s="16">
        <f t="shared" si="20"/>
        <v>0.20073384043159204</v>
      </c>
      <c r="N116" s="82">
        <v>59.686</v>
      </c>
    </row>
    <row r="117" spans="1:21">
      <c r="A117" s="13" t="s">
        <v>100</v>
      </c>
      <c r="B117" s="80"/>
      <c r="C117" s="306"/>
      <c r="D117" s="346"/>
      <c r="E117" s="80">
        <v>19.390999999999998</v>
      </c>
      <c r="F117" s="306">
        <f t="shared" si="22"/>
        <v>-5.1738471318891088E-2</v>
      </c>
      <c r="G117" s="346">
        <v>20.449000000000002</v>
      </c>
      <c r="H117" s="80">
        <v>50.844999999999999</v>
      </c>
      <c r="I117" s="14">
        <f t="shared" si="17"/>
        <v>0.13729393607265084</v>
      </c>
      <c r="J117" s="80">
        <v>44.707000000000001</v>
      </c>
      <c r="K117" s="16">
        <f t="shared" si="18"/>
        <v>-0.233340192749597</v>
      </c>
      <c r="L117" s="81">
        <v>58.314</v>
      </c>
      <c r="M117" s="16">
        <f t="shared" si="20"/>
        <v>-5.7703805445584518E-2</v>
      </c>
      <c r="N117" s="82">
        <v>61.884999999999998</v>
      </c>
    </row>
    <row r="118" spans="1:21">
      <c r="A118" s="13" t="s">
        <v>101</v>
      </c>
      <c r="B118" s="80"/>
      <c r="C118" s="306"/>
      <c r="D118" s="346"/>
      <c r="E118" s="80">
        <v>46.298000000000002</v>
      </c>
      <c r="F118" s="306">
        <f t="shared" si="22"/>
        <v>0.16475886185815991</v>
      </c>
      <c r="G118" s="346">
        <v>39.749000000000002</v>
      </c>
      <c r="H118" s="80">
        <v>90.847999999999999</v>
      </c>
      <c r="I118" s="14">
        <f t="shared" si="17"/>
        <v>0.35729759610356604</v>
      </c>
      <c r="J118" s="80">
        <v>66.933000000000007</v>
      </c>
      <c r="K118" s="16">
        <f t="shared" si="18"/>
        <v>-0.52763957402663386</v>
      </c>
      <c r="L118" s="81">
        <v>141.69900000000001</v>
      </c>
      <c r="M118" s="16">
        <f t="shared" si="20"/>
        <v>0.31384039090968108</v>
      </c>
      <c r="N118" s="82">
        <v>107.851</v>
      </c>
    </row>
    <row r="119" spans="1:21" s="85" customFormat="1">
      <c r="A119" s="4" t="s">
        <v>102</v>
      </c>
      <c r="B119" s="339"/>
      <c r="C119" s="340"/>
      <c r="D119" s="339"/>
      <c r="E119" s="339">
        <f>-E19/E18</f>
        <v>9.2471467170635563E-2</v>
      </c>
      <c r="F119" s="340"/>
      <c r="G119" s="339">
        <f>-G19/G18</f>
        <v>0.18259288341530083</v>
      </c>
      <c r="H119" s="83">
        <f>-H19/H18</f>
        <v>0.4232820575779932</v>
      </c>
      <c r="I119" s="84"/>
      <c r="J119" s="83">
        <f>-J19/J18</f>
        <v>0.32071395347826287</v>
      </c>
      <c r="K119" s="84"/>
      <c r="L119" s="83">
        <f>-L19/L18</f>
        <v>0.2967020324683603</v>
      </c>
      <c r="M119" s="84"/>
      <c r="N119" s="83">
        <v>0.30303003824320229</v>
      </c>
      <c r="O119" s="8"/>
      <c r="P119" s="8"/>
      <c r="Q119" s="8"/>
      <c r="R119" s="8"/>
      <c r="S119" s="8"/>
      <c r="T119" s="8"/>
      <c r="U119" s="8"/>
    </row>
    <row r="120" spans="1:21">
      <c r="B120" s="41"/>
      <c r="E120" s="41"/>
      <c r="H120" s="61">
        <f>H115-H113</f>
        <v>1921.5920000000001</v>
      </c>
      <c r="J120" s="41"/>
      <c r="N120" s="41"/>
    </row>
    <row r="121" spans="1:21" s="4" customFormat="1">
      <c r="B121" s="34"/>
      <c r="C121" s="26"/>
      <c r="D121" s="26"/>
      <c r="E121" s="34"/>
      <c r="F121" s="26"/>
      <c r="G121" s="26"/>
      <c r="H121" s="34"/>
      <c r="I121" s="26"/>
      <c r="J121" s="34"/>
      <c r="K121" s="26"/>
      <c r="L121" s="26"/>
      <c r="M121" s="26"/>
      <c r="N121" s="34"/>
      <c r="O121" s="8"/>
      <c r="P121" s="8"/>
      <c r="Q121" s="8"/>
      <c r="R121" s="8"/>
      <c r="S121" s="8"/>
      <c r="T121" s="8"/>
      <c r="U121" s="8"/>
    </row>
    <row r="122" spans="1:21" s="4" customFormat="1">
      <c r="A122" s="4" t="s">
        <v>103</v>
      </c>
      <c r="B122" s="79"/>
      <c r="C122" s="6"/>
      <c r="D122" s="79"/>
      <c r="E122" s="79">
        <f>-E97-E96-E101</f>
        <v>163.88900000000001</v>
      </c>
      <c r="F122" s="6"/>
      <c r="G122" s="79">
        <f>-G97-G96-G101</f>
        <v>173.57400000000001</v>
      </c>
      <c r="H122" s="79">
        <f>-H97-H96-H101</f>
        <v>426.803</v>
      </c>
      <c r="I122" s="6"/>
      <c r="J122" s="79">
        <f>-J97-J96-J101</f>
        <v>420.82600000000002</v>
      </c>
      <c r="K122" s="6"/>
      <c r="L122" s="79">
        <f>-L97-L96-L101</f>
        <v>520.64499999999998</v>
      </c>
      <c r="M122" s="7">
        <f>(L122-N122)/N122</f>
        <v>-0.30787749719505897</v>
      </c>
      <c r="N122" s="79">
        <v>752.24399999999991</v>
      </c>
      <c r="O122" s="8"/>
      <c r="P122" s="8"/>
      <c r="Q122" s="8"/>
      <c r="R122" s="8"/>
      <c r="S122" s="8"/>
      <c r="T122" s="8"/>
      <c r="U122" s="8"/>
    </row>
    <row r="123" spans="1:21">
      <c r="B123" s="41"/>
      <c r="E123" s="41"/>
      <c r="H123" s="41"/>
      <c r="J123" s="41"/>
      <c r="N123" s="41"/>
    </row>
    <row r="124" spans="1:21" s="4" customFormat="1">
      <c r="A124" s="4" t="s">
        <v>104</v>
      </c>
      <c r="B124" s="34"/>
      <c r="C124" s="26"/>
      <c r="D124" s="26"/>
      <c r="E124" s="34"/>
      <c r="F124" s="26"/>
      <c r="G124" s="26"/>
      <c r="H124" s="99"/>
      <c r="I124" s="100"/>
      <c r="J124" s="34"/>
      <c r="K124" s="26"/>
      <c r="L124" s="26"/>
      <c r="M124" s="26"/>
      <c r="N124" s="26"/>
      <c r="O124" s="8"/>
      <c r="P124" s="8"/>
      <c r="Q124" s="8"/>
      <c r="R124" s="8"/>
      <c r="S124" s="8"/>
      <c r="T124" s="8"/>
      <c r="U124" s="8"/>
    </row>
    <row r="125" spans="1:21" s="4" customFormat="1">
      <c r="A125" s="13" t="s">
        <v>105</v>
      </c>
      <c r="B125" s="86"/>
      <c r="C125" s="306"/>
      <c r="D125" s="86"/>
      <c r="E125" s="86">
        <v>28803</v>
      </c>
      <c r="F125" s="306">
        <f t="shared" ref="F125:F152" si="23">IF((+E125/G125)&lt;0,"n.m.",IF(E125&lt;0,(+E125/G125-1)*-1,(+E125/G125-1)))</f>
        <v>7.4217730205497379E-2</v>
      </c>
      <c r="G125" s="86">
        <v>26813</v>
      </c>
      <c r="H125" s="343">
        <v>27551</v>
      </c>
      <c r="I125" s="14">
        <f>IF((+H125/J125)&lt;0,"n.m.",IF(H125&lt;0,(+H125/J125-1)*-1,(+H125/J125-1)))</f>
        <v>1.5143699336772398E-2</v>
      </c>
      <c r="J125" s="86">
        <v>27140</v>
      </c>
      <c r="K125" s="16"/>
      <c r="L125" s="87"/>
      <c r="M125" s="16"/>
      <c r="N125" s="88"/>
      <c r="O125" s="8"/>
      <c r="P125" s="8"/>
      <c r="Q125" s="8"/>
      <c r="R125" s="8"/>
      <c r="S125" s="8"/>
      <c r="T125" s="8"/>
      <c r="U125" s="8"/>
    </row>
    <row r="126" spans="1:21" s="4" customFormat="1">
      <c r="A126" s="13" t="s">
        <v>106</v>
      </c>
      <c r="B126" s="86"/>
      <c r="C126" s="306"/>
      <c r="D126" s="86"/>
      <c r="E126" s="86">
        <v>9845</v>
      </c>
      <c r="F126" s="306">
        <f t="shared" si="23"/>
        <v>7.5956284153005482E-2</v>
      </c>
      <c r="G126" s="86">
        <v>9150</v>
      </c>
      <c r="H126" s="343">
        <v>9860</v>
      </c>
      <c r="I126" s="14">
        <f t="shared" ref="I126:I152" si="24">IF((+H126/J126)&lt;0,"n.m.",IF(H126&lt;0,(+H126/J126-1)*-1,(+H126/J126-1)))</f>
        <v>1.7019082001031416E-2</v>
      </c>
      <c r="J126" s="86">
        <v>9695</v>
      </c>
      <c r="K126" s="16"/>
      <c r="L126" s="87"/>
      <c r="M126" s="16"/>
      <c r="N126" s="88"/>
      <c r="O126" s="8"/>
      <c r="P126" s="8"/>
      <c r="Q126" s="8"/>
      <c r="R126" s="8"/>
      <c r="S126" s="8"/>
      <c r="T126" s="8"/>
      <c r="U126" s="8"/>
    </row>
    <row r="127" spans="1:21" s="4" customFormat="1">
      <c r="A127" s="23" t="s">
        <v>107</v>
      </c>
      <c r="B127" s="86"/>
      <c r="C127" s="306"/>
      <c r="D127" s="86"/>
      <c r="E127" s="86">
        <v>4322</v>
      </c>
      <c r="F127" s="306">
        <f t="shared" si="23"/>
        <v>-1.7503978176858337E-2</v>
      </c>
      <c r="G127" s="86">
        <v>4399</v>
      </c>
      <c r="H127" s="343">
        <v>4322</v>
      </c>
      <c r="I127" s="14">
        <f t="shared" si="24"/>
        <v>-0.12065106815869786</v>
      </c>
      <c r="J127" s="86">
        <v>4915</v>
      </c>
      <c r="K127" s="16"/>
      <c r="L127" s="87"/>
      <c r="M127" s="16"/>
      <c r="N127" s="88"/>
      <c r="O127" s="8"/>
      <c r="P127" s="8"/>
      <c r="Q127" s="8"/>
      <c r="R127" s="8"/>
      <c r="S127" s="8"/>
      <c r="T127" s="8"/>
      <c r="U127" s="8"/>
    </row>
    <row r="128" spans="1:21" s="4" customFormat="1">
      <c r="A128" s="23" t="s">
        <v>108</v>
      </c>
      <c r="B128" s="86"/>
      <c r="C128" s="306"/>
      <c r="D128" s="86"/>
      <c r="E128" s="86">
        <v>3531</v>
      </c>
      <c r="F128" s="306">
        <f t="shared" si="23"/>
        <v>-1.4140271493212619E-3</v>
      </c>
      <c r="G128" s="86">
        <v>3536</v>
      </c>
      <c r="H128" s="343">
        <v>3653</v>
      </c>
      <c r="I128" s="14">
        <f t="shared" si="24"/>
        <v>-3.7163943068002081E-2</v>
      </c>
      <c r="J128" s="86">
        <v>3794</v>
      </c>
      <c r="K128" s="16"/>
      <c r="L128" s="87"/>
      <c r="M128" s="16"/>
      <c r="N128" s="88"/>
      <c r="O128" s="8"/>
      <c r="P128" s="8"/>
      <c r="Q128" s="8"/>
      <c r="R128" s="8"/>
      <c r="S128" s="8"/>
      <c r="T128" s="8"/>
      <c r="U128" s="8"/>
    </row>
    <row r="129" spans="1:21">
      <c r="A129" s="23" t="s">
        <v>109</v>
      </c>
      <c r="B129" s="86"/>
      <c r="C129" s="306"/>
      <c r="D129" s="86"/>
      <c r="E129" s="86">
        <v>2722</v>
      </c>
      <c r="F129" s="306">
        <f t="shared" si="23"/>
        <v>1.643017176997752E-2</v>
      </c>
      <c r="G129" s="86">
        <v>2678</v>
      </c>
      <c r="H129" s="343">
        <v>2716</v>
      </c>
      <c r="I129" s="14">
        <f t="shared" si="24"/>
        <v>7.8205637157602315E-2</v>
      </c>
      <c r="J129" s="86">
        <v>2519</v>
      </c>
      <c r="K129" s="16"/>
      <c r="L129" s="87"/>
      <c r="M129" s="16"/>
      <c r="N129" s="88"/>
    </row>
    <row r="130" spans="1:21">
      <c r="A130" s="23" t="s">
        <v>110</v>
      </c>
      <c r="B130" s="86"/>
      <c r="C130" s="306"/>
      <c r="D130" s="86"/>
      <c r="E130" s="86">
        <v>1489</v>
      </c>
      <c r="F130" s="306">
        <f t="shared" si="23"/>
        <v>-0.28516562650024002</v>
      </c>
      <c r="G130" s="86">
        <v>2083</v>
      </c>
      <c r="H130" s="343">
        <v>1972</v>
      </c>
      <c r="I130" s="14">
        <f t="shared" si="24"/>
        <v>-0.23536254362155873</v>
      </c>
      <c r="J130" s="86">
        <v>2579</v>
      </c>
      <c r="K130" s="16"/>
      <c r="L130" s="87"/>
      <c r="M130" s="16"/>
      <c r="N130" s="88"/>
    </row>
    <row r="131" spans="1:21">
      <c r="A131" s="23" t="s">
        <v>111</v>
      </c>
      <c r="B131" s="86"/>
      <c r="C131" s="306"/>
      <c r="D131" s="86"/>
      <c r="E131" s="86">
        <v>1768</v>
      </c>
      <c r="F131" s="306">
        <f t="shared" si="23"/>
        <v>-1.3943112102621336E-2</v>
      </c>
      <c r="G131" s="86">
        <v>1793</v>
      </c>
      <c r="H131" s="343">
        <v>1788</v>
      </c>
      <c r="I131" s="14">
        <f t="shared" si="24"/>
        <v>-2.0273972602739776E-2</v>
      </c>
      <c r="J131" s="86">
        <v>1825</v>
      </c>
      <c r="K131" s="16"/>
      <c r="L131" s="87"/>
      <c r="M131" s="16"/>
      <c r="N131" s="88"/>
    </row>
    <row r="132" spans="1:21">
      <c r="A132" s="23" t="s">
        <v>112</v>
      </c>
      <c r="B132" s="86"/>
      <c r="C132" s="306"/>
      <c r="D132" s="86"/>
      <c r="E132" s="86">
        <v>1254</v>
      </c>
      <c r="F132" s="306">
        <f t="shared" si="23"/>
        <v>-4.7112462006078992E-2</v>
      </c>
      <c r="G132" s="86">
        <v>1316</v>
      </c>
      <c r="H132" s="343">
        <v>1284</v>
      </c>
      <c r="I132" s="14">
        <f t="shared" si="24"/>
        <v>-0.14854111405835546</v>
      </c>
      <c r="J132" s="86">
        <v>1508</v>
      </c>
      <c r="K132" s="16"/>
      <c r="L132" s="87"/>
      <c r="M132" s="16"/>
      <c r="N132" s="88"/>
    </row>
    <row r="133" spans="1:21">
      <c r="A133" s="23" t="s">
        <v>113</v>
      </c>
      <c r="B133" s="86"/>
      <c r="C133" s="306"/>
      <c r="D133" s="86"/>
      <c r="E133" s="86">
        <v>688</v>
      </c>
      <c r="F133" s="306">
        <f t="shared" si="23"/>
        <v>-8.6321381142098308E-2</v>
      </c>
      <c r="G133" s="86">
        <v>753</v>
      </c>
      <c r="H133" s="343">
        <v>741</v>
      </c>
      <c r="I133" s="14">
        <f t="shared" si="24"/>
        <v>-7.7210460772104583E-2</v>
      </c>
      <c r="J133" s="86">
        <v>803</v>
      </c>
      <c r="K133" s="16"/>
      <c r="L133" s="87"/>
      <c r="M133" s="16"/>
      <c r="N133" s="88"/>
    </row>
    <row r="134" spans="1:21">
      <c r="A134" s="23" t="s">
        <v>114</v>
      </c>
      <c r="B134" s="86"/>
      <c r="C134" s="306"/>
      <c r="D134" s="86"/>
      <c r="E134" s="86">
        <v>218</v>
      </c>
      <c r="F134" s="306">
        <f t="shared" si="23"/>
        <v>0.18478260869565211</v>
      </c>
      <c r="G134" s="86">
        <v>184</v>
      </c>
      <c r="H134" s="343">
        <v>187</v>
      </c>
      <c r="I134" s="14">
        <f t="shared" si="24"/>
        <v>1.08108108108107E-2</v>
      </c>
      <c r="J134" s="86">
        <v>185</v>
      </c>
      <c r="K134" s="16"/>
      <c r="L134" s="87"/>
      <c r="M134" s="16"/>
      <c r="N134" s="88"/>
    </row>
    <row r="135" spans="1:21">
      <c r="A135" s="23" t="s">
        <v>115</v>
      </c>
      <c r="B135" s="86"/>
      <c r="C135" s="306"/>
      <c r="D135" s="86"/>
      <c r="E135" s="86">
        <v>688</v>
      </c>
      <c r="F135" s="306">
        <f t="shared" si="23"/>
        <v>7.3322932917316619E-2</v>
      </c>
      <c r="G135" s="86">
        <v>641</v>
      </c>
      <c r="H135" s="343">
        <v>656</v>
      </c>
      <c r="I135" s="14">
        <f t="shared" si="24"/>
        <v>1.8633540372670732E-2</v>
      </c>
      <c r="J135" s="86">
        <v>644</v>
      </c>
      <c r="K135" s="16"/>
      <c r="L135" s="87"/>
      <c r="M135" s="16"/>
      <c r="N135" s="88"/>
    </row>
    <row r="136" spans="1:21">
      <c r="A136" s="23" t="s">
        <v>116</v>
      </c>
      <c r="B136" s="86"/>
      <c r="C136" s="306"/>
      <c r="D136" s="86"/>
      <c r="E136" s="86">
        <v>327</v>
      </c>
      <c r="F136" s="306">
        <f t="shared" si="23"/>
        <v>0.25769230769230766</v>
      </c>
      <c r="G136" s="86">
        <v>260</v>
      </c>
      <c r="H136" s="343">
        <v>299</v>
      </c>
      <c r="I136" s="14">
        <f t="shared" si="24"/>
        <v>0.32888888888888879</v>
      </c>
      <c r="J136" s="86">
        <v>225</v>
      </c>
      <c r="K136" s="16"/>
      <c r="L136" s="87"/>
      <c r="M136" s="16"/>
      <c r="N136" s="88"/>
    </row>
    <row r="137" spans="1:21">
      <c r="A137" s="23" t="s">
        <v>117</v>
      </c>
      <c r="B137" s="86"/>
      <c r="C137" s="306"/>
      <c r="D137" s="86"/>
      <c r="E137" s="86">
        <v>1365</v>
      </c>
      <c r="F137" s="306">
        <f t="shared" si="23"/>
        <v>-0.11421155094094748</v>
      </c>
      <c r="G137" s="86">
        <v>1541</v>
      </c>
      <c r="H137" s="343">
        <v>1523</v>
      </c>
      <c r="I137" s="14">
        <f t="shared" si="24"/>
        <v>-0.11504938988959912</v>
      </c>
      <c r="J137" s="86">
        <v>1721</v>
      </c>
      <c r="K137" s="16"/>
      <c r="L137" s="87"/>
      <c r="M137" s="16"/>
      <c r="N137" s="88"/>
    </row>
    <row r="138" spans="1:21">
      <c r="A138" s="13" t="s">
        <v>118</v>
      </c>
      <c r="B138" s="90"/>
      <c r="C138" s="306"/>
      <c r="D138" s="90"/>
      <c r="E138" s="90">
        <v>730</v>
      </c>
      <c r="F138" s="306">
        <f t="shared" si="23"/>
        <v>-9.5415117719950482E-2</v>
      </c>
      <c r="G138" s="90">
        <v>807</v>
      </c>
      <c r="H138" s="343">
        <v>806</v>
      </c>
      <c r="I138" s="14">
        <f t="shared" si="24"/>
        <v>-0.18668012108980825</v>
      </c>
      <c r="J138" s="90">
        <v>991</v>
      </c>
      <c r="K138" s="16"/>
      <c r="L138" s="91"/>
      <c r="M138" s="16"/>
    </row>
    <row r="139" spans="1:21">
      <c r="A139" s="13" t="s">
        <v>119</v>
      </c>
      <c r="B139" s="86"/>
      <c r="C139" s="306"/>
      <c r="D139" s="86"/>
      <c r="E139" s="86">
        <v>497</v>
      </c>
      <c r="F139" s="306">
        <f t="shared" si="23"/>
        <v>-0.23302469135802473</v>
      </c>
      <c r="G139" s="86">
        <v>648</v>
      </c>
      <c r="H139" s="343">
        <v>602</v>
      </c>
      <c r="I139" s="14">
        <f t="shared" si="24"/>
        <v>-0.17307692307692313</v>
      </c>
      <c r="J139" s="86">
        <v>728</v>
      </c>
      <c r="K139" s="16"/>
      <c r="L139" s="87"/>
      <c r="M139" s="16"/>
      <c r="N139" s="88"/>
    </row>
    <row r="140" spans="1:21" s="4" customFormat="1">
      <c r="A140" s="13" t="s">
        <v>120</v>
      </c>
      <c r="B140" s="86"/>
      <c r="C140" s="306"/>
      <c r="D140" s="86"/>
      <c r="E140" s="86">
        <v>382</v>
      </c>
      <c r="F140" s="306">
        <f t="shared" si="23"/>
        <v>0.16819571865443428</v>
      </c>
      <c r="G140" s="86">
        <v>327</v>
      </c>
      <c r="H140" s="343">
        <v>356</v>
      </c>
      <c r="I140" s="14">
        <f t="shared" si="24"/>
        <v>0.29454545454545444</v>
      </c>
      <c r="J140" s="86">
        <v>275</v>
      </c>
      <c r="K140" s="16"/>
      <c r="L140" s="87"/>
      <c r="M140" s="16"/>
      <c r="N140" s="88"/>
      <c r="O140" s="8"/>
      <c r="P140" s="8"/>
      <c r="Q140" s="8"/>
      <c r="R140" s="8"/>
      <c r="S140" s="8"/>
      <c r="T140" s="8"/>
      <c r="U140" s="8"/>
    </row>
    <row r="141" spans="1:21">
      <c r="A141" s="13" t="s">
        <v>121</v>
      </c>
      <c r="B141" s="86"/>
      <c r="C141" s="306"/>
      <c r="D141" s="86"/>
      <c r="E141" s="86">
        <v>556</v>
      </c>
      <c r="F141" s="306">
        <f t="shared" si="23"/>
        <v>0.1120000000000001</v>
      </c>
      <c r="G141" s="86">
        <v>500</v>
      </c>
      <c r="H141" s="343">
        <v>568</v>
      </c>
      <c r="I141" s="14">
        <f t="shared" si="24"/>
        <v>1.3089430894308944</v>
      </c>
      <c r="J141" s="86">
        <v>246</v>
      </c>
      <c r="K141" s="16"/>
      <c r="L141" s="87"/>
      <c r="M141" s="16"/>
      <c r="N141" s="88"/>
    </row>
    <row r="142" spans="1:21">
      <c r="A142" s="13" t="s">
        <v>122</v>
      </c>
      <c r="B142" s="86"/>
      <c r="C142" s="306"/>
      <c r="D142" s="86"/>
      <c r="E142" s="86">
        <v>951</v>
      </c>
      <c r="F142" s="306">
        <f t="shared" si="23"/>
        <v>-3.4517766497461966E-2</v>
      </c>
      <c r="G142" s="86">
        <v>985</v>
      </c>
      <c r="H142" s="343">
        <v>1004</v>
      </c>
      <c r="I142" s="14">
        <f t="shared" si="24"/>
        <v>0.13063063063063063</v>
      </c>
      <c r="J142" s="86">
        <v>888</v>
      </c>
      <c r="K142" s="16"/>
      <c r="L142" s="87"/>
      <c r="M142" s="16"/>
      <c r="N142" s="88"/>
    </row>
    <row r="143" spans="1:21">
      <c r="A143" s="13" t="s">
        <v>123</v>
      </c>
      <c r="B143" s="86"/>
      <c r="C143" s="306"/>
      <c r="D143" s="86"/>
      <c r="E143" s="86">
        <v>6153</v>
      </c>
      <c r="F143" s="306">
        <f t="shared" si="23"/>
        <v>-8.5735512630014887E-2</v>
      </c>
      <c r="G143" s="86">
        <v>6730</v>
      </c>
      <c r="H143" s="343">
        <v>6732</v>
      </c>
      <c r="I143" s="14">
        <f t="shared" si="24"/>
        <v>4.5828802237066979E-2</v>
      </c>
      <c r="J143" s="86">
        <v>6437</v>
      </c>
      <c r="K143" s="16"/>
      <c r="L143" s="87"/>
      <c r="M143" s="16"/>
      <c r="N143" s="88"/>
    </row>
    <row r="144" spans="1:21">
      <c r="A144" s="13" t="s">
        <v>124</v>
      </c>
      <c r="B144" s="86"/>
      <c r="C144" s="306"/>
      <c r="D144" s="86"/>
      <c r="E144" s="86">
        <v>4086</v>
      </c>
      <c r="F144" s="306">
        <f t="shared" si="23"/>
        <v>0.50830564784053167</v>
      </c>
      <c r="G144" s="86">
        <v>2709</v>
      </c>
      <c r="H144" s="86">
        <v>3123</v>
      </c>
      <c r="I144" s="14">
        <f t="shared" si="24"/>
        <v>0.19243986254295531</v>
      </c>
      <c r="J144" s="86">
        <v>2619</v>
      </c>
      <c r="K144" s="92"/>
      <c r="L144" s="87"/>
      <c r="M144" s="92"/>
      <c r="N144" s="88"/>
    </row>
    <row r="145" spans="1:21">
      <c r="A145" s="13" t="s">
        <v>125</v>
      </c>
      <c r="B145" s="95"/>
      <c r="C145" s="306"/>
      <c r="D145" s="95"/>
      <c r="E145" s="95">
        <v>1546</v>
      </c>
      <c r="F145" s="306">
        <f t="shared" si="23"/>
        <v>-0.42205607476635509</v>
      </c>
      <c r="G145" s="95">
        <v>2675</v>
      </c>
      <c r="H145" s="95">
        <v>2447</v>
      </c>
      <c r="I145" s="14">
        <f t="shared" si="24"/>
        <v>-7.5207860922146597E-2</v>
      </c>
      <c r="J145" s="95">
        <v>2646</v>
      </c>
      <c r="K145" s="16"/>
      <c r="L145" s="96"/>
      <c r="M145" s="16"/>
      <c r="N145" s="95"/>
    </row>
    <row r="146" spans="1:21">
      <c r="A146" s="13" t="s">
        <v>126</v>
      </c>
      <c r="B146" s="95"/>
      <c r="C146" s="306"/>
      <c r="D146" s="95"/>
      <c r="E146" s="95">
        <v>916</v>
      </c>
      <c r="F146" s="306">
        <f t="shared" si="23"/>
        <v>0.33333333333333326</v>
      </c>
      <c r="G146" s="95">
        <v>687</v>
      </c>
      <c r="H146" s="95">
        <v>716</v>
      </c>
      <c r="I146" s="14">
        <f t="shared" si="24"/>
        <v>-1.3947001394699621E-3</v>
      </c>
      <c r="J146" s="95">
        <v>717</v>
      </c>
      <c r="K146" s="16"/>
      <c r="L146" s="96"/>
      <c r="M146" s="16"/>
      <c r="N146" s="95"/>
    </row>
    <row r="147" spans="1:21">
      <c r="A147" s="42" t="s">
        <v>105</v>
      </c>
      <c r="B147" s="97"/>
      <c r="C147" s="306"/>
      <c r="D147" s="97"/>
      <c r="E147" s="97">
        <f>E125</f>
        <v>28803</v>
      </c>
      <c r="F147" s="306">
        <f t="shared" si="23"/>
        <v>7.4217730205497379E-2</v>
      </c>
      <c r="G147" s="97">
        <f>G125</f>
        <v>26813</v>
      </c>
      <c r="H147" s="97">
        <f>H125</f>
        <v>27551</v>
      </c>
      <c r="I147" s="14">
        <f t="shared" si="24"/>
        <v>1.5143699336772398E-2</v>
      </c>
      <c r="J147" s="97">
        <f>J125</f>
        <v>27140</v>
      </c>
      <c r="K147" s="16"/>
      <c r="L147" s="98"/>
      <c r="M147" s="16"/>
      <c r="N147" s="95"/>
    </row>
    <row r="148" spans="1:21">
      <c r="A148" s="42" t="s">
        <v>106</v>
      </c>
      <c r="B148" s="97"/>
      <c r="C148" s="306"/>
      <c r="D148" s="97"/>
      <c r="E148" s="97">
        <f>E126</f>
        <v>9845</v>
      </c>
      <c r="F148" s="306">
        <f t="shared" si="23"/>
        <v>7.5956284153005482E-2</v>
      </c>
      <c r="G148" s="97">
        <f>G126</f>
        <v>9150</v>
      </c>
      <c r="H148" s="97">
        <f>H126</f>
        <v>9860</v>
      </c>
      <c r="I148" s="14">
        <f t="shared" si="24"/>
        <v>1.7019082001031416E-2</v>
      </c>
      <c r="J148" s="97">
        <f>J126</f>
        <v>9695</v>
      </c>
      <c r="K148" s="16"/>
      <c r="L148" s="98"/>
      <c r="M148" s="16"/>
      <c r="N148" s="95"/>
    </row>
    <row r="149" spans="1:21" s="4" customFormat="1">
      <c r="A149" s="42" t="s">
        <v>127</v>
      </c>
      <c r="B149" s="90"/>
      <c r="C149" s="306"/>
      <c r="D149" s="90"/>
      <c r="E149" s="90">
        <f>E127+E128+E129+E130+E131+E132+E133+E134+E135+E136</f>
        <v>17007</v>
      </c>
      <c r="F149" s="306">
        <f t="shared" si="23"/>
        <v>-3.6048291106954622E-2</v>
      </c>
      <c r="G149" s="90">
        <f>G127+G128+G129+G130+G131+G132+G133+G134+G135+G136</f>
        <v>17643</v>
      </c>
      <c r="H149" s="90">
        <f>H127+H128+H129+H130+H131+H132+H133+H134+H135+H136</f>
        <v>17618</v>
      </c>
      <c r="I149" s="14">
        <f t="shared" si="24"/>
        <v>-7.2590409011949242E-2</v>
      </c>
      <c r="J149" s="90">
        <f>J127+J128+J129+J130+J131+J132+J133+J134+J135+J136</f>
        <v>18997</v>
      </c>
      <c r="K149" s="16"/>
      <c r="L149" s="91"/>
      <c r="M149" s="16"/>
      <c r="N149" s="33"/>
      <c r="O149" s="8"/>
      <c r="P149" s="8"/>
      <c r="Q149" s="8"/>
      <c r="R149" s="8"/>
      <c r="S149" s="8"/>
      <c r="T149" s="8"/>
      <c r="U149" s="8"/>
    </row>
    <row r="150" spans="1:21" s="4" customFormat="1">
      <c r="A150" s="42" t="s">
        <v>128</v>
      </c>
      <c r="B150" s="90"/>
      <c r="C150" s="306"/>
      <c r="D150" s="90"/>
      <c r="E150" s="90">
        <f>E137+E138+E139+E140+E141+E142</f>
        <v>4481</v>
      </c>
      <c r="F150" s="306">
        <f t="shared" si="23"/>
        <v>-6.8011647254575758E-2</v>
      </c>
      <c r="G150" s="90">
        <f>G137+G138+G139+G140+G141+G142</f>
        <v>4808</v>
      </c>
      <c r="H150" s="90">
        <f>H137+H138+H139+H140+H141+H142</f>
        <v>4859</v>
      </c>
      <c r="I150" s="14">
        <f t="shared" si="24"/>
        <v>2.0622808826562533E-3</v>
      </c>
      <c r="J150" s="90">
        <f>J137+J138+J139+J140+J141+J142</f>
        <v>4849</v>
      </c>
      <c r="K150" s="16"/>
      <c r="L150" s="91"/>
      <c r="M150" s="16"/>
      <c r="N150" s="33"/>
      <c r="O150" s="8"/>
      <c r="P150" s="8"/>
      <c r="Q150" s="8"/>
      <c r="R150" s="8"/>
      <c r="S150" s="8"/>
      <c r="T150" s="8"/>
      <c r="U150" s="8"/>
    </row>
    <row r="151" spans="1:21">
      <c r="A151" s="42" t="s">
        <v>129</v>
      </c>
      <c r="B151" s="90"/>
      <c r="C151" s="306"/>
      <c r="D151" s="90"/>
      <c r="E151" s="90">
        <f>E143+E144+E145+E146</f>
        <v>12701</v>
      </c>
      <c r="F151" s="306">
        <f t="shared" si="23"/>
        <v>-7.8118896961174578E-3</v>
      </c>
      <c r="G151" s="90">
        <f>G143+G144+G145+G146</f>
        <v>12801</v>
      </c>
      <c r="H151" s="90">
        <f>H143+H144+H145+H146</f>
        <v>13018</v>
      </c>
      <c r="I151" s="14">
        <f t="shared" si="24"/>
        <v>4.8232546903937523E-2</v>
      </c>
      <c r="J151" s="90">
        <f>J143+J144+J145+J146</f>
        <v>12419</v>
      </c>
      <c r="K151" s="16"/>
      <c r="L151" s="91"/>
      <c r="M151" s="16"/>
      <c r="N151" s="33"/>
    </row>
    <row r="152" spans="1:21" s="4" customFormat="1">
      <c r="A152" s="4" t="s">
        <v>130</v>
      </c>
      <c r="B152" s="99"/>
      <c r="C152" s="335"/>
      <c r="D152" s="99"/>
      <c r="E152" s="99">
        <f>SUM(E147:E151)</f>
        <v>72837</v>
      </c>
      <c r="F152" s="335">
        <f t="shared" si="23"/>
        <v>2.2776100540616406E-2</v>
      </c>
      <c r="G152" s="99">
        <f>SUM(G147:G151)</f>
        <v>71215</v>
      </c>
      <c r="H152" s="99">
        <f>SUM(H147:H151)</f>
        <v>72906</v>
      </c>
      <c r="I152" s="5">
        <f t="shared" si="24"/>
        <v>-2.653898768809837E-3</v>
      </c>
      <c r="J152" s="99">
        <f>SUM(J147:J151)</f>
        <v>73100</v>
      </c>
      <c r="K152" s="7">
        <f>(J152-L152)/L152</f>
        <v>-1.229563572490204E-2</v>
      </c>
      <c r="L152" s="100">
        <v>74010</v>
      </c>
      <c r="M152" s="7">
        <v>-3.715556943251893E-2</v>
      </c>
      <c r="N152" s="100">
        <v>76866</v>
      </c>
      <c r="O152" s="8"/>
      <c r="P152" s="8"/>
      <c r="Q152" s="8"/>
      <c r="R152" s="8"/>
      <c r="S152" s="8"/>
      <c r="T152" s="8"/>
      <c r="U152" s="8"/>
    </row>
    <row r="153" spans="1:21">
      <c r="B153" s="101"/>
      <c r="C153" s="306"/>
      <c r="D153" s="102"/>
      <c r="E153" s="101"/>
      <c r="F153" s="306"/>
      <c r="G153" s="102"/>
      <c r="H153" s="101"/>
      <c r="I153" s="16"/>
      <c r="J153" s="101"/>
      <c r="K153" s="16"/>
      <c r="L153" s="102"/>
      <c r="M153" s="7"/>
      <c r="N153" s="102"/>
    </row>
    <row r="154" spans="1:21">
      <c r="A154" s="13" t="s">
        <v>131</v>
      </c>
      <c r="B154" s="104"/>
      <c r="C154" s="306"/>
      <c r="D154" s="104"/>
      <c r="E154" s="104">
        <v>28390</v>
      </c>
      <c r="F154" s="306">
        <f t="shared" ref="F154:F155" si="25">IF((+E154/G154)&lt;0,"n.m.",IF(E154&lt;0,(+E154/G154-1)*-1,(+E154/G154-1)))</f>
        <v>2.7208915261596411E-2</v>
      </c>
      <c r="G154" s="352">
        <v>27638</v>
      </c>
      <c r="H154" s="103">
        <v>27887</v>
      </c>
      <c r="I154" s="16">
        <f>(H154-J154)/J154</f>
        <v>-7.2621124203481541E-3</v>
      </c>
      <c r="J154" s="103">
        <v>28091</v>
      </c>
      <c r="K154" s="16">
        <f>(J154-L154)/L154</f>
        <v>-7.2097543735642339E-3</v>
      </c>
      <c r="L154" s="104">
        <v>28295</v>
      </c>
      <c r="M154" s="16">
        <f>(L154-N154)/N154</f>
        <v>-0.11669216120875348</v>
      </c>
      <c r="N154" s="104">
        <v>32033</v>
      </c>
    </row>
    <row r="155" spans="1:21">
      <c r="A155" s="13" t="s">
        <v>132</v>
      </c>
      <c r="B155" s="104"/>
      <c r="C155" s="306"/>
      <c r="D155" s="104"/>
      <c r="E155" s="104">
        <v>44447</v>
      </c>
      <c r="F155" s="306">
        <f t="shared" si="25"/>
        <v>1.9964660256557298E-2</v>
      </c>
      <c r="G155" s="352">
        <v>43577</v>
      </c>
      <c r="H155" s="103">
        <v>45019</v>
      </c>
      <c r="I155" s="16">
        <f>(H155-J155)/J155</f>
        <v>2.2217778666488923E-4</v>
      </c>
      <c r="J155" s="103">
        <v>45009</v>
      </c>
      <c r="K155" s="16">
        <f>(J155-L155)/L155</f>
        <v>-1.5443508695176638E-2</v>
      </c>
      <c r="L155" s="104">
        <v>45715</v>
      </c>
      <c r="M155" s="16">
        <f>(L155-N155)/N155</f>
        <v>1.9673008721254433E-2</v>
      </c>
      <c r="N155" s="104">
        <v>44833</v>
      </c>
    </row>
    <row r="156" spans="1:21">
      <c r="B156" s="105"/>
      <c r="C156" s="106"/>
      <c r="E156" s="105"/>
      <c r="F156" s="106"/>
      <c r="H156" s="105"/>
      <c r="I156" s="106"/>
      <c r="J156" s="105"/>
      <c r="K156" s="106"/>
      <c r="L156" s="106"/>
      <c r="M156" s="16"/>
      <c r="N156" s="106"/>
    </row>
    <row r="157" spans="1:21" s="4" customFormat="1">
      <c r="A157" s="4" t="s">
        <v>4</v>
      </c>
      <c r="B157" s="34"/>
      <c r="C157" s="26"/>
      <c r="D157" s="26"/>
      <c r="E157" s="34"/>
      <c r="F157" s="26"/>
      <c r="G157" s="26"/>
      <c r="H157" s="34"/>
      <c r="I157" s="26"/>
      <c r="J157" s="34"/>
      <c r="K157" s="26"/>
      <c r="L157" s="26"/>
      <c r="M157" s="16"/>
      <c r="N157" s="26"/>
      <c r="O157" s="8"/>
      <c r="P157" s="8"/>
      <c r="Q157" s="8"/>
      <c r="R157" s="8"/>
      <c r="S157" s="8"/>
      <c r="T157" s="8"/>
      <c r="U157" s="8"/>
    </row>
    <row r="158" spans="1:21" s="4" customFormat="1">
      <c r="A158" s="13" t="s">
        <v>105</v>
      </c>
      <c r="B158" s="107"/>
      <c r="C158" s="306"/>
      <c r="D158" s="107"/>
      <c r="E158" s="107">
        <v>2725.38</v>
      </c>
      <c r="F158" s="306">
        <f t="shared" ref="F158:F185" si="26">IF((+E158/G158)&lt;0,"n.m.",IF(E158&lt;0,(+E158/G158-1)*-1,(+E158/G158-1)))</f>
        <v>4.6082630924416224E-2</v>
      </c>
      <c r="G158" s="107">
        <v>2605.3200000000002</v>
      </c>
      <c r="H158" s="107">
        <v>6080.29</v>
      </c>
      <c r="I158" s="14">
        <f t="shared" ref="I158:I185" si="27">IF((+H158/J158)&lt;0,"n.m.",IF(H158&lt;0,(+H158/J158-1)*-1,(+H158/J158-1)))</f>
        <v>5.0352317661142676E-2</v>
      </c>
      <c r="J158" s="107">
        <v>5788.81</v>
      </c>
      <c r="K158" s="306"/>
      <c r="L158" s="88"/>
      <c r="M158" s="16"/>
      <c r="N158" s="88"/>
      <c r="O158" s="8"/>
      <c r="P158" s="8"/>
      <c r="Q158" s="8"/>
      <c r="R158" s="8"/>
      <c r="S158" s="8"/>
      <c r="T158" s="8"/>
      <c r="U158" s="8"/>
    </row>
    <row r="159" spans="1:21" s="4" customFormat="1">
      <c r="A159" s="13" t="s">
        <v>106</v>
      </c>
      <c r="B159" s="107"/>
      <c r="C159" s="306"/>
      <c r="D159" s="107"/>
      <c r="E159" s="107">
        <v>862.87</v>
      </c>
      <c r="F159" s="306">
        <f t="shared" si="26"/>
        <v>-6.5396350238903223E-3</v>
      </c>
      <c r="G159" s="107">
        <v>868.55</v>
      </c>
      <c r="H159" s="107">
        <v>2057.59</v>
      </c>
      <c r="I159" s="14">
        <f t="shared" si="27"/>
        <v>3.8400201867272443E-2</v>
      </c>
      <c r="J159" s="107">
        <v>1981.5</v>
      </c>
      <c r="K159" s="306"/>
      <c r="L159" s="88"/>
      <c r="M159" s="16"/>
      <c r="N159" s="88"/>
      <c r="O159" s="8"/>
      <c r="P159" s="8"/>
      <c r="Q159" s="8"/>
      <c r="R159" s="8"/>
      <c r="S159" s="8"/>
      <c r="T159" s="8"/>
      <c r="U159" s="8"/>
    </row>
    <row r="160" spans="1:21" s="4" customFormat="1">
      <c r="A160" s="23" t="s">
        <v>107</v>
      </c>
      <c r="B160" s="107"/>
      <c r="C160" s="306"/>
      <c r="D160" s="107"/>
      <c r="E160" s="107">
        <v>368.75</v>
      </c>
      <c r="F160" s="306">
        <f t="shared" si="26"/>
        <v>0.22986358936730822</v>
      </c>
      <c r="G160" s="107">
        <v>299.83</v>
      </c>
      <c r="H160" s="107">
        <v>816.82</v>
      </c>
      <c r="I160" s="14">
        <f t="shared" si="27"/>
        <v>3.7495236885558114E-2</v>
      </c>
      <c r="J160" s="107">
        <v>787.30000000000007</v>
      </c>
      <c r="K160" s="306"/>
      <c r="L160" s="88"/>
      <c r="M160" s="16"/>
      <c r="N160" s="88"/>
      <c r="O160" s="8"/>
      <c r="P160" s="8"/>
      <c r="Q160" s="8"/>
      <c r="R160" s="8"/>
      <c r="S160" s="8"/>
      <c r="T160" s="8"/>
      <c r="U160" s="8"/>
    </row>
    <row r="161" spans="1:21" s="4" customFormat="1">
      <c r="A161" s="23" t="s">
        <v>108</v>
      </c>
      <c r="B161" s="107"/>
      <c r="C161" s="306"/>
      <c r="D161" s="107"/>
      <c r="E161" s="107">
        <v>270.27999999999997</v>
      </c>
      <c r="F161" s="306">
        <f t="shared" si="26"/>
        <v>0.19762495568947158</v>
      </c>
      <c r="G161" s="107">
        <v>225.68</v>
      </c>
      <c r="H161" s="107">
        <v>619.57999999999993</v>
      </c>
      <c r="I161" s="14">
        <f t="shared" si="27"/>
        <v>-3.8904228585610934E-2</v>
      </c>
      <c r="J161" s="107">
        <v>644.65999999999985</v>
      </c>
      <c r="K161" s="306"/>
      <c r="L161" s="88"/>
      <c r="M161" s="16"/>
      <c r="N161" s="88"/>
      <c r="O161" s="8"/>
      <c r="P161" s="8"/>
      <c r="Q161" s="8"/>
      <c r="R161" s="8"/>
      <c r="S161" s="8"/>
      <c r="T161" s="8"/>
      <c r="U161" s="8"/>
    </row>
    <row r="162" spans="1:21">
      <c r="A162" s="23" t="s">
        <v>109</v>
      </c>
      <c r="B162" s="107"/>
      <c r="C162" s="306"/>
      <c r="D162" s="107"/>
      <c r="E162" s="107">
        <v>272</v>
      </c>
      <c r="F162" s="306">
        <f t="shared" si="26"/>
        <v>0.23411978221415608</v>
      </c>
      <c r="G162" s="107">
        <v>220.4</v>
      </c>
      <c r="H162" s="107">
        <v>544.28</v>
      </c>
      <c r="I162" s="14">
        <f t="shared" si="27"/>
        <v>9.7471468322780863E-2</v>
      </c>
      <c r="J162" s="107">
        <v>495.94</v>
      </c>
      <c r="K162" s="306"/>
      <c r="L162" s="88"/>
      <c r="M162" s="16"/>
      <c r="N162" s="88"/>
    </row>
    <row r="163" spans="1:21">
      <c r="A163" s="23" t="s">
        <v>110</v>
      </c>
      <c r="B163" s="107"/>
      <c r="C163" s="306"/>
      <c r="D163" s="107"/>
      <c r="E163" s="107">
        <v>109.31</v>
      </c>
      <c r="F163" s="306">
        <f t="shared" si="26"/>
        <v>-0.27296308613235776</v>
      </c>
      <c r="G163" s="107">
        <v>150.35</v>
      </c>
      <c r="H163" s="107">
        <v>302.07</v>
      </c>
      <c r="I163" s="14">
        <f t="shared" si="27"/>
        <v>-0.46183858898984509</v>
      </c>
      <c r="J163" s="107">
        <v>561.30000000000007</v>
      </c>
      <c r="K163" s="306"/>
      <c r="L163" s="88"/>
      <c r="M163" s="16"/>
      <c r="N163" s="88"/>
    </row>
    <row r="164" spans="1:21">
      <c r="A164" s="23" t="s">
        <v>111</v>
      </c>
      <c r="B164" s="107"/>
      <c r="C164" s="306"/>
      <c r="D164" s="107"/>
      <c r="E164" s="107">
        <v>277.69</v>
      </c>
      <c r="F164" s="306">
        <f t="shared" si="26"/>
        <v>0.72950921773791721</v>
      </c>
      <c r="G164" s="107">
        <v>160.56</v>
      </c>
      <c r="H164" s="107">
        <v>427.13</v>
      </c>
      <c r="I164" s="14">
        <f t="shared" si="27"/>
        <v>0.25471476411491678</v>
      </c>
      <c r="J164" s="107">
        <v>340.42</v>
      </c>
      <c r="K164" s="306"/>
      <c r="L164" s="88"/>
      <c r="M164" s="16"/>
      <c r="N164" s="88"/>
    </row>
    <row r="165" spans="1:21">
      <c r="A165" s="23" t="s">
        <v>112</v>
      </c>
      <c r="B165" s="107"/>
      <c r="C165" s="306"/>
      <c r="D165" s="107"/>
      <c r="E165" s="107">
        <v>93.77</v>
      </c>
      <c r="F165" s="306">
        <f t="shared" si="26"/>
        <v>0.3259332579185521</v>
      </c>
      <c r="G165" s="107">
        <v>70.72</v>
      </c>
      <c r="H165" s="107">
        <v>181.34000000000003</v>
      </c>
      <c r="I165" s="14">
        <f t="shared" si="27"/>
        <v>-0.43653481651803749</v>
      </c>
      <c r="J165" s="107">
        <v>321.83000000000004</v>
      </c>
      <c r="K165" s="306"/>
      <c r="L165" s="88"/>
      <c r="M165" s="16"/>
      <c r="N165" s="88"/>
    </row>
    <row r="166" spans="1:21">
      <c r="A166" s="23" t="s">
        <v>113</v>
      </c>
      <c r="B166" s="107"/>
      <c r="C166" s="306"/>
      <c r="D166" s="107"/>
      <c r="E166" s="107">
        <v>31.4</v>
      </c>
      <c r="F166" s="306">
        <f t="shared" si="26"/>
        <v>-0.58177943526904641</v>
      </c>
      <c r="G166" s="107">
        <v>75.08</v>
      </c>
      <c r="H166" s="107">
        <v>120.74000000000001</v>
      </c>
      <c r="I166" s="14">
        <f t="shared" si="27"/>
        <v>-9.5241663544398669E-2</v>
      </c>
      <c r="J166" s="107">
        <v>133.45000000000002</v>
      </c>
      <c r="K166" s="306"/>
      <c r="L166" s="88"/>
      <c r="M166" s="16"/>
      <c r="N166" s="88"/>
    </row>
    <row r="167" spans="1:21">
      <c r="A167" s="23" t="s">
        <v>114</v>
      </c>
      <c r="B167" s="107"/>
      <c r="C167" s="306"/>
      <c r="D167" s="107"/>
      <c r="E167" s="107">
        <v>54.11</v>
      </c>
      <c r="F167" s="306">
        <f t="shared" si="26"/>
        <v>1.0597639893414543</v>
      </c>
      <c r="G167" s="107">
        <v>26.27</v>
      </c>
      <c r="H167" s="107">
        <v>68.169999999999987</v>
      </c>
      <c r="I167" s="14">
        <f t="shared" si="27"/>
        <v>1.1424332344213362E-2</v>
      </c>
      <c r="J167" s="107">
        <v>67.400000000000006</v>
      </c>
      <c r="K167" s="306"/>
      <c r="L167" s="88"/>
      <c r="M167" s="16"/>
      <c r="N167" s="88"/>
    </row>
    <row r="168" spans="1:21">
      <c r="A168" s="23" t="s">
        <v>115</v>
      </c>
      <c r="B168" s="107"/>
      <c r="C168" s="306"/>
      <c r="D168" s="107"/>
      <c r="E168" s="107">
        <v>16.559999999999999</v>
      </c>
      <c r="F168" s="306">
        <f t="shared" si="26"/>
        <v>0.10695187165775377</v>
      </c>
      <c r="G168" s="107">
        <v>14.96</v>
      </c>
      <c r="H168" s="107">
        <v>37.96</v>
      </c>
      <c r="I168" s="14">
        <f t="shared" si="27"/>
        <v>0.21433141394753696</v>
      </c>
      <c r="J168" s="107">
        <v>31.259999999999998</v>
      </c>
      <c r="K168" s="306"/>
      <c r="L168" s="305"/>
      <c r="M168" s="16"/>
      <c r="N168" s="88"/>
    </row>
    <row r="169" spans="1:21">
      <c r="A169" s="23" t="s">
        <v>116</v>
      </c>
      <c r="B169" s="107"/>
      <c r="C169" s="306"/>
      <c r="D169" s="107"/>
      <c r="E169" s="107">
        <v>12.61</v>
      </c>
      <c r="F169" s="306">
        <f t="shared" si="26"/>
        <v>-0.18487394957983205</v>
      </c>
      <c r="G169" s="107">
        <v>15.47</v>
      </c>
      <c r="H169" s="107">
        <v>39.32</v>
      </c>
      <c r="I169" s="14">
        <f t="shared" si="27"/>
        <v>0.98887202832574572</v>
      </c>
      <c r="J169" s="107">
        <v>19.770000000000003</v>
      </c>
      <c r="K169" s="306"/>
      <c r="L169" s="307"/>
      <c r="M169" s="16"/>
      <c r="N169" s="88"/>
    </row>
    <row r="170" spans="1:21">
      <c r="A170" s="23" t="s">
        <v>117</v>
      </c>
      <c r="B170" s="107"/>
      <c r="C170" s="306"/>
      <c r="D170" s="107"/>
      <c r="E170" s="107">
        <v>156.13999999999999</v>
      </c>
      <c r="F170" s="306">
        <f t="shared" si="26"/>
        <v>-1.6131064902331405E-2</v>
      </c>
      <c r="G170" s="107">
        <v>158.69999999999999</v>
      </c>
      <c r="H170" s="107">
        <v>358.65</v>
      </c>
      <c r="I170" s="14">
        <f t="shared" si="27"/>
        <v>-7.138418517943157E-2</v>
      </c>
      <c r="J170" s="107">
        <v>386.22</v>
      </c>
      <c r="K170" s="306"/>
      <c r="M170" s="16"/>
      <c r="N170" s="88"/>
    </row>
    <row r="171" spans="1:21">
      <c r="A171" s="13" t="s">
        <v>118</v>
      </c>
      <c r="B171" s="61"/>
      <c r="C171" s="306"/>
      <c r="D171" s="61"/>
      <c r="E171" s="61">
        <v>135.25</v>
      </c>
      <c r="F171" s="306">
        <f t="shared" si="26"/>
        <v>-0.17176974892835273</v>
      </c>
      <c r="G171" s="61">
        <v>163.30000000000001</v>
      </c>
      <c r="H171" s="61">
        <v>324.07</v>
      </c>
      <c r="I171" s="14">
        <f t="shared" si="27"/>
        <v>-0.18913576540059052</v>
      </c>
      <c r="J171" s="61">
        <v>399.66</v>
      </c>
      <c r="K171" s="306"/>
      <c r="M171" s="16"/>
    </row>
    <row r="172" spans="1:21">
      <c r="A172" s="13" t="s">
        <v>119</v>
      </c>
      <c r="B172" s="107"/>
      <c r="C172" s="306"/>
      <c r="D172" s="107"/>
      <c r="E172" s="107">
        <v>124.42</v>
      </c>
      <c r="F172" s="306">
        <f t="shared" si="26"/>
        <v>-0.13308249721293208</v>
      </c>
      <c r="G172" s="107">
        <v>143.52000000000001</v>
      </c>
      <c r="H172" s="107">
        <v>270.82</v>
      </c>
      <c r="I172" s="14">
        <f t="shared" si="27"/>
        <v>-0.14085400672546156</v>
      </c>
      <c r="J172" s="107">
        <v>315.21999999999997</v>
      </c>
      <c r="K172" s="306"/>
      <c r="L172" s="308"/>
      <c r="M172" s="16"/>
      <c r="N172" s="88"/>
    </row>
    <row r="173" spans="1:21" s="4" customFormat="1">
      <c r="A173" s="13" t="s">
        <v>120</v>
      </c>
      <c r="B173" s="107"/>
      <c r="C173" s="306"/>
      <c r="D173" s="107"/>
      <c r="E173" s="107">
        <v>95.71</v>
      </c>
      <c r="F173" s="306">
        <f t="shared" si="26"/>
        <v>0.50086247451779808</v>
      </c>
      <c r="G173" s="107">
        <v>63.77</v>
      </c>
      <c r="H173" s="107">
        <v>179.10000000000002</v>
      </c>
      <c r="I173" s="14">
        <f t="shared" si="27"/>
        <v>6.4044676806083833E-2</v>
      </c>
      <c r="J173" s="107">
        <v>168.32</v>
      </c>
      <c r="K173" s="306"/>
      <c r="L173" s="88"/>
      <c r="M173" s="16"/>
      <c r="N173" s="88"/>
      <c r="O173" s="8"/>
      <c r="P173" s="8"/>
      <c r="Q173" s="8"/>
      <c r="R173" s="8"/>
      <c r="S173" s="8"/>
      <c r="T173" s="8"/>
      <c r="U173" s="8"/>
    </row>
    <row r="174" spans="1:21">
      <c r="A174" s="13" t="s">
        <v>121</v>
      </c>
      <c r="B174" s="107"/>
      <c r="C174" s="306"/>
      <c r="D174" s="107"/>
      <c r="E174" s="107">
        <v>101.54</v>
      </c>
      <c r="F174" s="306">
        <f t="shared" si="26"/>
        <v>9.0420962199312838E-2</v>
      </c>
      <c r="G174" s="107">
        <v>93.12</v>
      </c>
      <c r="H174" s="107">
        <v>196.76000000000002</v>
      </c>
      <c r="I174" s="14">
        <f t="shared" si="27"/>
        <v>0.29806043013590178</v>
      </c>
      <c r="J174" s="107">
        <v>151.58000000000001</v>
      </c>
      <c r="K174" s="306"/>
      <c r="L174" s="88"/>
      <c r="M174" s="16"/>
      <c r="N174" s="88"/>
    </row>
    <row r="175" spans="1:21">
      <c r="A175" s="13" t="s">
        <v>122</v>
      </c>
      <c r="B175" s="107"/>
      <c r="C175" s="306"/>
      <c r="D175" s="107"/>
      <c r="E175" s="107">
        <v>80.75</v>
      </c>
      <c r="F175" s="306">
        <f t="shared" si="26"/>
        <v>5.7767880534451033E-2</v>
      </c>
      <c r="G175" s="107">
        <v>76.34</v>
      </c>
      <c r="H175" s="107">
        <v>170.01000000000002</v>
      </c>
      <c r="I175" s="14">
        <f t="shared" si="27"/>
        <v>0.36302413212539086</v>
      </c>
      <c r="J175" s="107">
        <v>124.73</v>
      </c>
      <c r="K175" s="306"/>
      <c r="L175" s="88"/>
      <c r="M175" s="16"/>
      <c r="N175" s="88"/>
    </row>
    <row r="176" spans="1:21">
      <c r="A176" s="13" t="s">
        <v>123</v>
      </c>
      <c r="B176" s="107"/>
      <c r="C176" s="306"/>
      <c r="D176" s="107"/>
      <c r="E176" s="107">
        <v>160.87</v>
      </c>
      <c r="F176" s="306">
        <f t="shared" si="26"/>
        <v>0.24204756022235951</v>
      </c>
      <c r="G176" s="107">
        <v>129.52000000000001</v>
      </c>
      <c r="H176" s="107">
        <v>271.63</v>
      </c>
      <c r="I176" s="14">
        <f t="shared" si="27"/>
        <v>-0.15940459243671468</v>
      </c>
      <c r="J176" s="107">
        <v>323.14</v>
      </c>
      <c r="K176" s="306"/>
      <c r="L176" s="88"/>
      <c r="M176" s="16"/>
      <c r="N176" s="88"/>
    </row>
    <row r="177" spans="1:21">
      <c r="A177" s="13" t="s">
        <v>124</v>
      </c>
      <c r="B177" s="107"/>
      <c r="C177" s="306"/>
      <c r="D177" s="107"/>
      <c r="E177" s="107">
        <v>163.31</v>
      </c>
      <c r="F177" s="306">
        <f t="shared" si="26"/>
        <v>0.50474523173316133</v>
      </c>
      <c r="G177" s="107">
        <v>108.53</v>
      </c>
      <c r="H177" s="107">
        <v>254.76</v>
      </c>
      <c r="I177" s="14">
        <f t="shared" si="27"/>
        <v>-2.9818347994973071E-2</v>
      </c>
      <c r="J177" s="107">
        <v>262.58999999999997</v>
      </c>
      <c r="K177" s="306"/>
      <c r="L177" s="88"/>
      <c r="M177" s="92"/>
      <c r="N177" s="88"/>
    </row>
    <row r="178" spans="1:21">
      <c r="A178" s="13" t="s">
        <v>125</v>
      </c>
      <c r="B178" s="108"/>
      <c r="C178" s="306"/>
      <c r="D178" s="108"/>
      <c r="E178" s="108">
        <v>53.44</v>
      </c>
      <c r="F178" s="306">
        <f t="shared" si="26"/>
        <v>-0.3309127331914361</v>
      </c>
      <c r="G178" s="108">
        <v>79.87</v>
      </c>
      <c r="H178" s="108">
        <v>158</v>
      </c>
      <c r="I178" s="14">
        <f t="shared" si="27"/>
        <v>-4.1552926903245302E-2</v>
      </c>
      <c r="J178" s="108">
        <v>164.85</v>
      </c>
      <c r="K178" s="306"/>
      <c r="L178" s="95"/>
      <c r="M178" s="16"/>
      <c r="N178" s="95"/>
    </row>
    <row r="179" spans="1:21">
      <c r="A179" s="13" t="s">
        <v>126</v>
      </c>
      <c r="B179" s="108"/>
      <c r="C179" s="306"/>
      <c r="D179" s="108"/>
      <c r="E179" s="108">
        <v>38.51</v>
      </c>
      <c r="F179" s="306">
        <f t="shared" si="26"/>
        <v>0.29706972044459401</v>
      </c>
      <c r="G179" s="108">
        <v>29.69</v>
      </c>
      <c r="H179" s="108">
        <v>86.910000000000011</v>
      </c>
      <c r="I179" s="14">
        <f t="shared" si="27"/>
        <v>-0.15719550038789754</v>
      </c>
      <c r="J179" s="108">
        <v>103.12</v>
      </c>
      <c r="K179" s="306"/>
      <c r="L179" s="95"/>
      <c r="M179" s="16"/>
      <c r="N179" s="95"/>
    </row>
    <row r="180" spans="1:21">
      <c r="A180" s="309" t="s">
        <v>105</v>
      </c>
      <c r="B180" s="109"/>
      <c r="C180" s="306"/>
      <c r="D180" s="109"/>
      <c r="E180" s="109">
        <f>E158</f>
        <v>2725.38</v>
      </c>
      <c r="F180" s="306">
        <f t="shared" si="26"/>
        <v>4.6082630924416224E-2</v>
      </c>
      <c r="G180" s="109">
        <f>G158</f>
        <v>2605.3200000000002</v>
      </c>
      <c r="H180" s="109">
        <f>H158</f>
        <v>6080.29</v>
      </c>
      <c r="I180" s="14">
        <f t="shared" si="27"/>
        <v>5.0352317661142676E-2</v>
      </c>
      <c r="J180" s="109">
        <f>J158</f>
        <v>5788.81</v>
      </c>
      <c r="K180" s="39"/>
      <c r="L180" s="95"/>
      <c r="M180" s="16"/>
      <c r="N180" s="95"/>
    </row>
    <row r="181" spans="1:21">
      <c r="A181" s="309" t="s">
        <v>106</v>
      </c>
      <c r="B181" s="109"/>
      <c r="C181" s="306"/>
      <c r="D181" s="109"/>
      <c r="E181" s="109">
        <f>E159</f>
        <v>862.87</v>
      </c>
      <c r="F181" s="306">
        <f t="shared" si="26"/>
        <v>-6.5396350238903223E-3</v>
      </c>
      <c r="G181" s="109">
        <f>G159</f>
        <v>868.55</v>
      </c>
      <c r="H181" s="109">
        <f>H159</f>
        <v>2057.59</v>
      </c>
      <c r="I181" s="14">
        <f t="shared" si="27"/>
        <v>3.8400201867272443E-2</v>
      </c>
      <c r="J181" s="109">
        <f>J159</f>
        <v>1981.5</v>
      </c>
      <c r="K181" s="39"/>
      <c r="L181" s="95"/>
      <c r="M181" s="16"/>
      <c r="N181" s="95"/>
    </row>
    <row r="182" spans="1:21" s="4" customFormat="1">
      <c r="A182" s="309" t="s">
        <v>127</v>
      </c>
      <c r="B182" s="61"/>
      <c r="C182" s="306"/>
      <c r="D182" s="61"/>
      <c r="E182" s="61">
        <f>E160+E161+E162+E163+E164+E165+E166+E167+E168+E169</f>
        <v>1506.4799999999998</v>
      </c>
      <c r="F182" s="306">
        <f t="shared" si="26"/>
        <v>0.19626465076390431</v>
      </c>
      <c r="G182" s="61">
        <f>G160+G161+G162+G163+G164+G165+G166+G167+G168+G169</f>
        <v>1259.32</v>
      </c>
      <c r="H182" s="61">
        <f>H160+H161+H162+H163+H164+H165+H166+H167+H168+H169</f>
        <v>3157.4100000000003</v>
      </c>
      <c r="I182" s="14">
        <f t="shared" si="27"/>
        <v>-7.2258640801802998E-2</v>
      </c>
      <c r="J182" s="61">
        <f>J160+J161+J162+J163+J164+J165+J166+J167+J168+J169</f>
        <v>3403.3300000000004</v>
      </c>
      <c r="K182" s="39"/>
      <c r="L182" s="33"/>
      <c r="M182" s="16"/>
      <c r="N182" s="33"/>
      <c r="O182" s="8"/>
      <c r="P182" s="8"/>
      <c r="Q182" s="8"/>
      <c r="R182" s="8"/>
      <c r="S182" s="8"/>
      <c r="T182" s="8"/>
      <c r="U182" s="8"/>
    </row>
    <row r="183" spans="1:21" s="4" customFormat="1">
      <c r="A183" s="309" t="s">
        <v>128</v>
      </c>
      <c r="B183" s="61"/>
      <c r="C183" s="306"/>
      <c r="D183" s="61"/>
      <c r="E183" s="61">
        <f>E170+E171+E172+E173+E174+E175</f>
        <v>693.81</v>
      </c>
      <c r="F183" s="306">
        <f t="shared" si="26"/>
        <v>-7.0697674418604972E-3</v>
      </c>
      <c r="G183" s="61">
        <f>G170+G171+G172+G173+G174+G175</f>
        <v>698.75</v>
      </c>
      <c r="H183" s="61">
        <f>H170+H171+H172+H173+H174+H175</f>
        <v>1499.4099999999999</v>
      </c>
      <c r="I183" s="14">
        <f t="shared" si="27"/>
        <v>-2.9966423631552885E-2</v>
      </c>
      <c r="J183" s="61">
        <f>J170+J171+J172+J173+J174+J175</f>
        <v>1545.73</v>
      </c>
      <c r="K183" s="39"/>
      <c r="L183" s="33"/>
      <c r="M183" s="16"/>
      <c r="N183" s="33"/>
      <c r="O183" s="8"/>
      <c r="P183" s="8"/>
      <c r="Q183" s="8"/>
      <c r="R183" s="8"/>
      <c r="S183" s="8"/>
      <c r="T183" s="8"/>
      <c r="U183" s="8"/>
    </row>
    <row r="184" spans="1:21">
      <c r="A184" s="309" t="s">
        <v>129</v>
      </c>
      <c r="B184" s="61"/>
      <c r="C184" s="306"/>
      <c r="D184" s="61"/>
      <c r="E184" s="61">
        <f>E176+E177+E178+E179</f>
        <v>416.13</v>
      </c>
      <c r="F184" s="306">
        <f t="shared" si="26"/>
        <v>0.19711745922154122</v>
      </c>
      <c r="G184" s="61">
        <f>G176+G177+G178+G179</f>
        <v>347.61</v>
      </c>
      <c r="H184" s="61">
        <f>H176+H177+H178+H179</f>
        <v>771.3</v>
      </c>
      <c r="I184" s="14">
        <f t="shared" si="27"/>
        <v>-9.6521026121588527E-2</v>
      </c>
      <c r="J184" s="61">
        <f>J176+J177+J178+J179</f>
        <v>853.7</v>
      </c>
      <c r="K184" s="39"/>
      <c r="L184" s="33"/>
      <c r="M184" s="16"/>
      <c r="N184" s="33"/>
    </row>
    <row r="185" spans="1:21" s="4" customFormat="1">
      <c r="A185" s="4" t="s">
        <v>133</v>
      </c>
      <c r="B185" s="12"/>
      <c r="C185" s="335"/>
      <c r="D185" s="12"/>
      <c r="E185" s="12">
        <f>SUM(E180:E184)</f>
        <v>6204.6699999999992</v>
      </c>
      <c r="F185" s="335">
        <f t="shared" si="26"/>
        <v>7.3555899680771031E-2</v>
      </c>
      <c r="G185" s="12">
        <f>SUM(G180:G184)</f>
        <v>5779.5499999999993</v>
      </c>
      <c r="H185" s="12">
        <f>SUM(H180:H184)</f>
        <v>13566</v>
      </c>
      <c r="I185" s="5">
        <f t="shared" si="27"/>
        <v>-5.208843688274678E-4</v>
      </c>
      <c r="J185" s="12">
        <f>SUM(J180:J184)</f>
        <v>13573.070000000002</v>
      </c>
      <c r="K185" s="7">
        <f>(J185-L185)/L185</f>
        <v>-3.3436115819007919E-2</v>
      </c>
      <c r="L185" s="12">
        <v>14042.600000000002</v>
      </c>
      <c r="M185" s="7">
        <v>-1.9771950704495715E-2</v>
      </c>
      <c r="N185" s="12">
        <v>14325.850000000002</v>
      </c>
      <c r="O185" s="8"/>
      <c r="P185" s="8"/>
      <c r="Q185" s="8"/>
      <c r="R185" s="8"/>
      <c r="S185" s="8"/>
      <c r="T185" s="8"/>
      <c r="U185" s="8"/>
    </row>
    <row r="186" spans="1:21">
      <c r="C186" s="306"/>
      <c r="F186" s="306"/>
      <c r="I186" s="16"/>
      <c r="K186" s="16"/>
      <c r="M186" s="16"/>
    </row>
    <row r="187" spans="1:21">
      <c r="A187" s="12" t="s">
        <v>5</v>
      </c>
      <c r="B187" s="6"/>
      <c r="C187" s="306"/>
      <c r="D187" s="6"/>
      <c r="E187" s="6"/>
      <c r="F187" s="306"/>
      <c r="G187" s="6"/>
      <c r="H187" s="6"/>
      <c r="I187" s="16"/>
      <c r="J187" s="6"/>
      <c r="K187" s="16"/>
      <c r="L187" s="6"/>
      <c r="M187" s="16"/>
      <c r="N187" s="6"/>
    </row>
    <row r="188" spans="1:21" s="4" customFormat="1">
      <c r="A188" s="13" t="s">
        <v>105</v>
      </c>
      <c r="B188" s="107"/>
      <c r="C188" s="306"/>
      <c r="D188" s="107"/>
      <c r="E188" s="107">
        <v>5280.03</v>
      </c>
      <c r="F188" s="306">
        <f t="shared" ref="F188:F215" si="28">IF((+E188/G188)&lt;0,"n.m.",IF(E188&lt;0,(+E188/G188-1)*-1,(+E188/G188-1)))</f>
        <v>-4.6817598391152848E-2</v>
      </c>
      <c r="G188" s="107">
        <v>5539.37</v>
      </c>
      <c r="H188" s="107">
        <v>4937.9799999999996</v>
      </c>
      <c r="I188" s="14">
        <f t="shared" ref="I188:I215" si="29">IF((+H188/J188)&lt;0,"n.m.",IF(H188&lt;0,(+H188/J188-1)*-1,(+H188/J188-1)))</f>
        <v>-2.2642794089122509E-2</v>
      </c>
      <c r="J188" s="107">
        <v>5052.38</v>
      </c>
      <c r="K188" s="16"/>
      <c r="L188" s="88"/>
      <c r="M188" s="16"/>
      <c r="N188" s="88"/>
      <c r="O188" s="8"/>
      <c r="P188" s="8"/>
      <c r="Q188" s="8"/>
      <c r="R188" s="8"/>
      <c r="S188" s="8"/>
      <c r="T188" s="8"/>
      <c r="U188" s="8"/>
    </row>
    <row r="189" spans="1:21" s="4" customFormat="1">
      <c r="A189" s="13" t="s">
        <v>106</v>
      </c>
      <c r="B189" s="107"/>
      <c r="C189" s="306"/>
      <c r="D189" s="107"/>
      <c r="E189" s="107">
        <v>1809.93</v>
      </c>
      <c r="F189" s="306">
        <f t="shared" si="28"/>
        <v>-4.4060860094392584E-3</v>
      </c>
      <c r="G189" s="107">
        <v>1817.94</v>
      </c>
      <c r="H189" s="107">
        <v>1541.7000000000003</v>
      </c>
      <c r="I189" s="14">
        <f t="shared" si="29"/>
        <v>2.5543803632009698E-2</v>
      </c>
      <c r="J189" s="107">
        <v>1503.3</v>
      </c>
      <c r="K189" s="16"/>
      <c r="L189" s="307"/>
      <c r="M189" s="16"/>
      <c r="N189" s="88"/>
      <c r="O189" s="8"/>
      <c r="P189" s="8"/>
      <c r="Q189" s="8"/>
      <c r="R189" s="8"/>
      <c r="S189" s="8"/>
      <c r="T189" s="8"/>
      <c r="U189" s="8"/>
    </row>
    <row r="190" spans="1:21" s="4" customFormat="1">
      <c r="A190" s="23" t="s">
        <v>107</v>
      </c>
      <c r="B190" s="107"/>
      <c r="C190" s="306"/>
      <c r="D190" s="107"/>
      <c r="E190" s="107">
        <v>1069.74</v>
      </c>
      <c r="F190" s="306">
        <f t="shared" si="28"/>
        <v>0.79083938795325937</v>
      </c>
      <c r="G190" s="107">
        <v>597.34</v>
      </c>
      <c r="H190" s="107">
        <v>845.12</v>
      </c>
      <c r="I190" s="14">
        <f t="shared" si="29"/>
        <v>0.39783985841644776</v>
      </c>
      <c r="J190" s="107">
        <v>604.58999999999992</v>
      </c>
      <c r="K190" s="16"/>
      <c r="L190" s="88"/>
      <c r="M190" s="16"/>
      <c r="N190" s="88"/>
      <c r="O190" s="8"/>
      <c r="P190" s="8"/>
      <c r="Q190" s="8"/>
      <c r="R190" s="8"/>
      <c r="S190" s="8"/>
      <c r="T190" s="8"/>
      <c r="U190" s="8"/>
    </row>
    <row r="191" spans="1:21" s="4" customFormat="1">
      <c r="A191" s="23" t="s">
        <v>108</v>
      </c>
      <c r="B191" s="107"/>
      <c r="C191" s="306"/>
      <c r="D191" s="107"/>
      <c r="E191" s="107">
        <v>420.62</v>
      </c>
      <c r="F191" s="306">
        <f t="shared" si="28"/>
        <v>-8.9389707951765485E-2</v>
      </c>
      <c r="G191" s="107">
        <v>461.91</v>
      </c>
      <c r="H191" s="107">
        <v>347.61</v>
      </c>
      <c r="I191" s="14">
        <f t="shared" si="29"/>
        <v>-4.5787696615333995E-2</v>
      </c>
      <c r="J191" s="107">
        <v>364.29</v>
      </c>
      <c r="K191" s="16"/>
      <c r="L191" s="88"/>
      <c r="M191" s="16"/>
      <c r="N191" s="88"/>
      <c r="O191" s="8"/>
      <c r="P191" s="8"/>
      <c r="Q191" s="8"/>
      <c r="R191" s="8"/>
      <c r="S191" s="8"/>
      <c r="T191" s="8"/>
      <c r="U191" s="8"/>
    </row>
    <row r="192" spans="1:21">
      <c r="A192" s="23" t="s">
        <v>109</v>
      </c>
      <c r="B192" s="107"/>
      <c r="C192" s="306"/>
      <c r="D192" s="107"/>
      <c r="E192" s="107">
        <v>298.64999999999998</v>
      </c>
      <c r="F192" s="306">
        <f t="shared" si="28"/>
        <v>-0.49879166247105033</v>
      </c>
      <c r="G192" s="107">
        <v>595.86</v>
      </c>
      <c r="H192" s="107">
        <v>507.91</v>
      </c>
      <c r="I192" s="14">
        <f t="shared" si="29"/>
        <v>-0.11357964362379791</v>
      </c>
      <c r="J192" s="107">
        <v>572.99</v>
      </c>
      <c r="K192" s="16"/>
      <c r="L192" s="88"/>
      <c r="M192" s="16"/>
      <c r="N192" s="88"/>
    </row>
    <row r="193" spans="1:21">
      <c r="A193" s="23" t="s">
        <v>110</v>
      </c>
      <c r="B193" s="107"/>
      <c r="C193" s="306"/>
      <c r="D193" s="107"/>
      <c r="E193" s="107">
        <v>552.96</v>
      </c>
      <c r="F193" s="306">
        <f t="shared" si="28"/>
        <v>-0.18844663613948565</v>
      </c>
      <c r="G193" s="107">
        <v>681.36</v>
      </c>
      <c r="H193" s="107">
        <v>723.46</v>
      </c>
      <c r="I193" s="14">
        <f t="shared" si="29"/>
        <v>1.2794757073539609</v>
      </c>
      <c r="J193" s="107">
        <v>317.38</v>
      </c>
      <c r="K193" s="16"/>
      <c r="L193" s="88"/>
      <c r="M193" s="16"/>
      <c r="N193" s="88"/>
    </row>
    <row r="194" spans="1:21">
      <c r="A194" s="23" t="s">
        <v>111</v>
      </c>
      <c r="B194" s="107"/>
      <c r="C194" s="306"/>
      <c r="D194" s="107"/>
      <c r="E194" s="107">
        <v>532.57000000000005</v>
      </c>
      <c r="F194" s="306">
        <f t="shared" si="28"/>
        <v>-0.17471951899832638</v>
      </c>
      <c r="G194" s="107">
        <v>645.32000000000005</v>
      </c>
      <c r="H194" s="107">
        <v>553.30000000000007</v>
      </c>
      <c r="I194" s="14">
        <f t="shared" si="29"/>
        <v>0.24292389253302193</v>
      </c>
      <c r="J194" s="107">
        <v>445.16</v>
      </c>
      <c r="K194" s="16"/>
      <c r="L194" s="88"/>
      <c r="M194" s="16"/>
      <c r="N194" s="88"/>
    </row>
    <row r="195" spans="1:21">
      <c r="A195" s="23" t="s">
        <v>112</v>
      </c>
      <c r="B195" s="107"/>
      <c r="C195" s="306"/>
      <c r="D195" s="107"/>
      <c r="E195" s="107">
        <v>494.98</v>
      </c>
      <c r="F195" s="306">
        <f t="shared" si="28"/>
        <v>4.9620424954408549E-2</v>
      </c>
      <c r="G195" s="107">
        <v>471.58</v>
      </c>
      <c r="H195" s="107">
        <v>498.22</v>
      </c>
      <c r="I195" s="14">
        <f t="shared" si="29"/>
        <v>0.61591852620653875</v>
      </c>
      <c r="J195" s="107">
        <v>308.32</v>
      </c>
      <c r="K195" s="16"/>
      <c r="L195" s="88"/>
      <c r="M195" s="16"/>
      <c r="N195" s="88"/>
    </row>
    <row r="196" spans="1:21">
      <c r="A196" s="23" t="s">
        <v>113</v>
      </c>
      <c r="B196" s="107"/>
      <c r="C196" s="306"/>
      <c r="D196" s="107"/>
      <c r="E196" s="107">
        <v>46.09</v>
      </c>
      <c r="F196" s="306">
        <f t="shared" si="28"/>
        <v>-0.16775009028530152</v>
      </c>
      <c r="G196" s="107">
        <v>55.38</v>
      </c>
      <c r="H196" s="107">
        <v>52.629999999999995</v>
      </c>
      <c r="I196" s="14">
        <f t="shared" si="29"/>
        <v>-0.31265508684863519</v>
      </c>
      <c r="J196" s="107">
        <v>76.569999999999993</v>
      </c>
      <c r="K196" s="16"/>
      <c r="L196" s="88"/>
      <c r="M196" s="16"/>
      <c r="N196" s="88"/>
    </row>
    <row r="197" spans="1:21">
      <c r="A197" s="23" t="s">
        <v>114</v>
      </c>
      <c r="B197" s="107"/>
      <c r="C197" s="306"/>
      <c r="D197" s="107"/>
      <c r="E197" s="107">
        <v>74.099999999999994</v>
      </c>
      <c r="F197" s="306">
        <f t="shared" si="28"/>
        <v>-0.48427060133630295</v>
      </c>
      <c r="G197" s="107">
        <v>143.68</v>
      </c>
      <c r="H197" s="107">
        <v>112.89</v>
      </c>
      <c r="I197" s="14">
        <f t="shared" si="29"/>
        <v>-0.24950139609094546</v>
      </c>
      <c r="J197" s="107">
        <v>150.42000000000002</v>
      </c>
      <c r="K197" s="16"/>
      <c r="L197" s="88"/>
      <c r="M197" s="16"/>
      <c r="N197" s="88"/>
    </row>
    <row r="198" spans="1:21">
      <c r="A198" s="23" t="s">
        <v>115</v>
      </c>
      <c r="B198" s="107"/>
      <c r="C198" s="306"/>
      <c r="D198" s="107"/>
      <c r="E198" s="107">
        <v>38.72</v>
      </c>
      <c r="F198" s="306">
        <f t="shared" si="28"/>
        <v>1.1112322791712104</v>
      </c>
      <c r="G198" s="107">
        <v>18.34</v>
      </c>
      <c r="H198" s="107">
        <v>23.97</v>
      </c>
      <c r="I198" s="14">
        <f t="shared" si="29"/>
        <v>0.11957029425502097</v>
      </c>
      <c r="J198" s="107">
        <v>21.41</v>
      </c>
      <c r="K198" s="16"/>
      <c r="L198" s="88"/>
      <c r="M198" s="16"/>
      <c r="N198" s="88"/>
    </row>
    <row r="199" spans="1:21">
      <c r="A199" s="23" t="s">
        <v>116</v>
      </c>
      <c r="B199" s="107"/>
      <c r="C199" s="306"/>
      <c r="D199" s="107"/>
      <c r="E199" s="107">
        <v>13.98</v>
      </c>
      <c r="F199" s="306">
        <f t="shared" si="28"/>
        <v>-0.54521795705920617</v>
      </c>
      <c r="G199" s="107">
        <v>30.74</v>
      </c>
      <c r="H199" s="107">
        <v>14.35</v>
      </c>
      <c r="I199" s="14">
        <f t="shared" si="29"/>
        <v>-0.58894299627613855</v>
      </c>
      <c r="J199" s="107">
        <v>34.909999999999997</v>
      </c>
      <c r="K199" s="16"/>
      <c r="L199" s="88"/>
      <c r="M199" s="16"/>
      <c r="N199" s="88"/>
    </row>
    <row r="200" spans="1:21">
      <c r="A200" s="23" t="s">
        <v>117</v>
      </c>
      <c r="B200" s="107"/>
      <c r="C200" s="306"/>
      <c r="D200" s="107"/>
      <c r="E200" s="107">
        <v>344.21</v>
      </c>
      <c r="F200" s="306">
        <f t="shared" si="28"/>
        <v>0.17562075207486583</v>
      </c>
      <c r="G200" s="107">
        <v>292.79000000000002</v>
      </c>
      <c r="H200" s="107">
        <v>169.15</v>
      </c>
      <c r="I200" s="14">
        <f t="shared" si="29"/>
        <v>-0.22140391254315306</v>
      </c>
      <c r="J200" s="107">
        <v>217.25</v>
      </c>
      <c r="K200" s="16"/>
      <c r="M200" s="16"/>
      <c r="N200" s="88"/>
    </row>
    <row r="201" spans="1:21">
      <c r="A201" s="13" t="s">
        <v>118</v>
      </c>
      <c r="B201" s="61"/>
      <c r="C201" s="306"/>
      <c r="D201" s="61"/>
      <c r="E201" s="61">
        <v>314.97000000000003</v>
      </c>
      <c r="F201" s="306">
        <f t="shared" si="28"/>
        <v>0.13115460585383376</v>
      </c>
      <c r="G201" s="61">
        <v>278.45</v>
      </c>
      <c r="H201" s="61">
        <v>398.23</v>
      </c>
      <c r="I201" s="14">
        <f t="shared" si="29"/>
        <v>0.13491407563623925</v>
      </c>
      <c r="J201" s="61">
        <v>350.89000000000004</v>
      </c>
      <c r="K201" s="16"/>
      <c r="M201" s="16"/>
    </row>
    <row r="202" spans="1:21">
      <c r="A202" s="13" t="s">
        <v>119</v>
      </c>
      <c r="B202" s="107"/>
      <c r="C202" s="306"/>
      <c r="D202" s="107"/>
      <c r="E202" s="107">
        <v>262.94</v>
      </c>
      <c r="F202" s="306">
        <f t="shared" si="28"/>
        <v>-0.31280871860544124</v>
      </c>
      <c r="G202" s="107">
        <v>382.63</v>
      </c>
      <c r="H202" s="107">
        <v>311.06</v>
      </c>
      <c r="I202" s="14">
        <f t="shared" si="29"/>
        <v>0.15682993045483284</v>
      </c>
      <c r="J202" s="107">
        <v>268.89</v>
      </c>
      <c r="K202" s="16"/>
      <c r="L202" s="88"/>
      <c r="M202" s="16"/>
      <c r="N202" s="88"/>
    </row>
    <row r="203" spans="1:21" s="4" customFormat="1">
      <c r="A203" s="13" t="s">
        <v>120</v>
      </c>
      <c r="B203" s="107"/>
      <c r="C203" s="306"/>
      <c r="D203" s="107"/>
      <c r="E203" s="107">
        <v>1123.42</v>
      </c>
      <c r="F203" s="306">
        <f t="shared" si="28"/>
        <v>-5.3938204754646391E-2</v>
      </c>
      <c r="G203" s="107">
        <v>1187.47</v>
      </c>
      <c r="H203" s="107">
        <v>1237</v>
      </c>
      <c r="I203" s="14">
        <f t="shared" si="29"/>
        <v>-1.4907781989615509E-2</v>
      </c>
      <c r="J203" s="107">
        <v>1255.72</v>
      </c>
      <c r="K203" s="16"/>
      <c r="L203" s="88"/>
      <c r="M203" s="16"/>
      <c r="N203" s="88"/>
      <c r="O203" s="8"/>
      <c r="P203" s="8"/>
      <c r="Q203" s="8"/>
      <c r="R203" s="8"/>
      <c r="S203" s="8"/>
      <c r="T203" s="8"/>
      <c r="U203" s="8"/>
    </row>
    <row r="204" spans="1:21">
      <c r="A204" s="13" t="s">
        <v>121</v>
      </c>
      <c r="B204" s="107"/>
      <c r="C204" s="306"/>
      <c r="D204" s="107"/>
      <c r="E204" s="107">
        <v>396.97</v>
      </c>
      <c r="F204" s="306">
        <f t="shared" si="28"/>
        <v>-0.18365961997203251</v>
      </c>
      <c r="G204" s="107">
        <v>486.28</v>
      </c>
      <c r="H204" s="107">
        <v>455.95</v>
      </c>
      <c r="I204" s="14">
        <f t="shared" si="29"/>
        <v>0.61033411033411045</v>
      </c>
      <c r="J204" s="107">
        <v>283.14</v>
      </c>
      <c r="K204" s="16"/>
      <c r="L204" s="88"/>
      <c r="M204" s="16"/>
      <c r="N204" s="88"/>
    </row>
    <row r="205" spans="1:21">
      <c r="A205" s="13" t="s">
        <v>122</v>
      </c>
      <c r="B205" s="107"/>
      <c r="C205" s="306"/>
      <c r="D205" s="107"/>
      <c r="E205" s="107">
        <v>258.86</v>
      </c>
      <c r="F205" s="306">
        <f t="shared" si="28"/>
        <v>-5.3459119496855334E-2</v>
      </c>
      <c r="G205" s="107">
        <v>273.48</v>
      </c>
      <c r="H205" s="107">
        <v>263.02999999999997</v>
      </c>
      <c r="I205" s="14">
        <f t="shared" si="29"/>
        <v>0.52675876480148576</v>
      </c>
      <c r="J205" s="107">
        <v>172.28</v>
      </c>
      <c r="K205" s="16"/>
      <c r="L205" s="88"/>
      <c r="M205" s="16"/>
      <c r="N205" s="88"/>
    </row>
    <row r="206" spans="1:21">
      <c r="A206" s="13" t="s">
        <v>123</v>
      </c>
      <c r="B206" s="107"/>
      <c r="C206" s="306"/>
      <c r="D206" s="107"/>
      <c r="E206" s="107">
        <v>633.02</v>
      </c>
      <c r="F206" s="306">
        <f t="shared" si="28"/>
        <v>0.27396405643100086</v>
      </c>
      <c r="G206" s="107">
        <v>496.89</v>
      </c>
      <c r="H206" s="107">
        <v>525.16999999999996</v>
      </c>
      <c r="I206" s="14">
        <f t="shared" si="29"/>
        <v>-0.10181289550196693</v>
      </c>
      <c r="J206" s="107">
        <v>584.70000000000005</v>
      </c>
      <c r="K206" s="16"/>
      <c r="L206" s="88"/>
      <c r="M206" s="16"/>
      <c r="N206" s="88"/>
    </row>
    <row r="207" spans="1:21">
      <c r="A207" s="13" t="s">
        <v>124</v>
      </c>
      <c r="B207" s="107"/>
      <c r="C207" s="306"/>
      <c r="D207" s="107"/>
      <c r="E207" s="107">
        <v>448.74</v>
      </c>
      <c r="F207" s="306">
        <f t="shared" si="28"/>
        <v>-0.35876880867664074</v>
      </c>
      <c r="G207" s="107">
        <v>699.81</v>
      </c>
      <c r="H207" s="107">
        <v>583.40000000000009</v>
      </c>
      <c r="I207" s="14">
        <f t="shared" si="29"/>
        <v>-8.7981490745372426E-2</v>
      </c>
      <c r="J207" s="107">
        <v>639.67999999999995</v>
      </c>
      <c r="K207" s="92"/>
      <c r="L207" s="88"/>
      <c r="M207" s="92"/>
      <c r="N207" s="88"/>
    </row>
    <row r="208" spans="1:21">
      <c r="A208" s="13" t="s">
        <v>125</v>
      </c>
      <c r="B208" s="108"/>
      <c r="C208" s="306"/>
      <c r="D208" s="108"/>
      <c r="E208" s="108">
        <v>140.18</v>
      </c>
      <c r="F208" s="306">
        <f t="shared" si="28"/>
        <v>0.19150021249468763</v>
      </c>
      <c r="G208" s="108">
        <v>117.65</v>
      </c>
      <c r="H208" s="108">
        <v>107.55999999999999</v>
      </c>
      <c r="I208" s="14">
        <f t="shared" si="29"/>
        <v>-0.19545216545740152</v>
      </c>
      <c r="J208" s="108">
        <v>133.69</v>
      </c>
      <c r="K208" s="16"/>
      <c r="L208" s="95"/>
      <c r="M208" s="16"/>
      <c r="N208" s="95"/>
    </row>
    <row r="209" spans="1:21">
      <c r="A209" s="13" t="s">
        <v>126</v>
      </c>
      <c r="B209" s="108"/>
      <c r="C209" s="306"/>
      <c r="D209" s="108"/>
      <c r="E209" s="108">
        <v>285.75</v>
      </c>
      <c r="F209" s="306">
        <f t="shared" si="28"/>
        <v>0.47134545080067958</v>
      </c>
      <c r="G209" s="108">
        <v>194.21</v>
      </c>
      <c r="H209" s="108">
        <v>193.75</v>
      </c>
      <c r="I209" s="14">
        <f t="shared" si="29"/>
        <v>0.73424633011099161</v>
      </c>
      <c r="J209" s="108">
        <v>111.72000000000001</v>
      </c>
      <c r="K209" s="16"/>
      <c r="L209" s="95"/>
      <c r="M209" s="16"/>
      <c r="N209" s="95"/>
    </row>
    <row r="210" spans="1:21">
      <c r="A210" s="42" t="s">
        <v>105</v>
      </c>
      <c r="B210" s="109"/>
      <c r="C210" s="306"/>
      <c r="D210" s="109"/>
      <c r="E210" s="109">
        <f>E188</f>
        <v>5280.03</v>
      </c>
      <c r="F210" s="306">
        <f t="shared" si="28"/>
        <v>-4.6817598391152848E-2</v>
      </c>
      <c r="G210" s="109">
        <f>G188</f>
        <v>5539.37</v>
      </c>
      <c r="H210" s="109">
        <f>H188</f>
        <v>4937.9799999999996</v>
      </c>
      <c r="I210" s="14">
        <f t="shared" si="29"/>
        <v>-2.2642794089122509E-2</v>
      </c>
      <c r="J210" s="109">
        <f>J188</f>
        <v>5052.38</v>
      </c>
      <c r="K210" s="16"/>
      <c r="L210" s="95"/>
      <c r="M210" s="16"/>
      <c r="N210" s="95"/>
    </row>
    <row r="211" spans="1:21">
      <c r="A211" s="42" t="s">
        <v>106</v>
      </c>
      <c r="B211" s="109"/>
      <c r="C211" s="306"/>
      <c r="D211" s="109"/>
      <c r="E211" s="109">
        <f>E189</f>
        <v>1809.93</v>
      </c>
      <c r="F211" s="306">
        <f t="shared" si="28"/>
        <v>-4.4060860094392584E-3</v>
      </c>
      <c r="G211" s="109">
        <f>G189</f>
        <v>1817.94</v>
      </c>
      <c r="H211" s="109">
        <f>H189</f>
        <v>1541.7000000000003</v>
      </c>
      <c r="I211" s="14">
        <f t="shared" si="29"/>
        <v>2.5543803632009698E-2</v>
      </c>
      <c r="J211" s="109">
        <f>J189</f>
        <v>1503.3</v>
      </c>
      <c r="K211" s="16"/>
      <c r="L211" s="95"/>
      <c r="M211" s="16"/>
      <c r="N211" s="95"/>
    </row>
    <row r="212" spans="1:21" s="4" customFormat="1">
      <c r="A212" s="42" t="s">
        <v>127</v>
      </c>
      <c r="B212" s="61"/>
      <c r="C212" s="306"/>
      <c r="D212" s="61"/>
      <c r="E212" s="61">
        <f>E190+E191+E192+E193+E194+E195+E196+E197+E198+E199</f>
        <v>3542.4100000000003</v>
      </c>
      <c r="F212" s="306">
        <f t="shared" si="28"/>
        <v>-4.298245851017557E-2</v>
      </c>
      <c r="G212" s="61">
        <f>G190+G191+G192+G193+G194+G195+G196+G197+G198+G199</f>
        <v>3701.51</v>
      </c>
      <c r="H212" s="61">
        <f>H190+H191+H192+H193+H194+H195+H196+H197+H198+H199</f>
        <v>3679.4600000000005</v>
      </c>
      <c r="I212" s="14">
        <f t="shared" si="29"/>
        <v>0.27051421941685905</v>
      </c>
      <c r="J212" s="61">
        <f>J190+J191+J192+J193+J194+J195+J196+J197+J198+J199</f>
        <v>2896.04</v>
      </c>
      <c r="K212" s="16"/>
      <c r="L212" s="33"/>
      <c r="M212" s="16"/>
      <c r="N212" s="33"/>
      <c r="O212" s="8"/>
      <c r="P212" s="8"/>
      <c r="Q212" s="8"/>
      <c r="R212" s="8"/>
      <c r="S212" s="8"/>
      <c r="T212" s="8"/>
      <c r="U212" s="8"/>
    </row>
    <row r="213" spans="1:21" s="4" customFormat="1">
      <c r="A213" s="42" t="s">
        <v>128</v>
      </c>
      <c r="B213" s="61"/>
      <c r="C213" s="306"/>
      <c r="D213" s="61"/>
      <c r="E213" s="61">
        <f>E200+E201+E202+E203+E204+E205</f>
        <v>2701.3700000000003</v>
      </c>
      <c r="F213" s="306">
        <f t="shared" si="28"/>
        <v>-6.8846299679431788E-2</v>
      </c>
      <c r="G213" s="61">
        <f>G200+G201+G202+G203+G204+G205</f>
        <v>2901.1</v>
      </c>
      <c r="H213" s="61">
        <f>H200+H201+H202+H203+H204+H205</f>
        <v>2834.42</v>
      </c>
      <c r="I213" s="14">
        <f t="shared" si="29"/>
        <v>0.11233551921575091</v>
      </c>
      <c r="J213" s="61">
        <f>J200+J201+J202+J203+J204+J205</f>
        <v>2548.17</v>
      </c>
      <c r="K213" s="16"/>
      <c r="L213" s="33"/>
      <c r="M213" s="16"/>
      <c r="N213" s="33"/>
      <c r="O213" s="8"/>
      <c r="P213" s="8"/>
      <c r="Q213" s="8"/>
      <c r="R213" s="8"/>
      <c r="S213" s="8"/>
      <c r="T213" s="8"/>
      <c r="U213" s="8"/>
    </row>
    <row r="214" spans="1:21">
      <c r="A214" s="42" t="s">
        <v>129</v>
      </c>
      <c r="B214" s="61"/>
      <c r="C214" s="306"/>
      <c r="D214" s="61"/>
      <c r="E214" s="61">
        <f>E206+E207+E208+E209</f>
        <v>1507.69</v>
      </c>
      <c r="F214" s="306">
        <f t="shared" si="28"/>
        <v>-5.7670891446137684E-4</v>
      </c>
      <c r="G214" s="61">
        <f>G206+G207+G208+G209</f>
        <v>1508.56</v>
      </c>
      <c r="H214" s="316">
        <f>H206+H207+H208+H209</f>
        <v>1409.88</v>
      </c>
      <c r="I214" s="14">
        <f t="shared" si="29"/>
        <v>-4.0760925030106421E-2</v>
      </c>
      <c r="J214" s="316">
        <f>J206+J207+J208+J209</f>
        <v>1469.7900000000002</v>
      </c>
      <c r="K214" s="16"/>
      <c r="L214" s="33"/>
      <c r="M214" s="16"/>
      <c r="N214" s="33"/>
    </row>
    <row r="215" spans="1:21" s="4" customFormat="1">
      <c r="A215" s="110" t="s">
        <v>134</v>
      </c>
      <c r="B215" s="111"/>
      <c r="C215" s="335"/>
      <c r="D215" s="111"/>
      <c r="E215" s="111">
        <f>SUM(E210:E214)</f>
        <v>14841.430000000002</v>
      </c>
      <c r="F215" s="335">
        <f t="shared" si="28"/>
        <v>-4.0537273216243452E-2</v>
      </c>
      <c r="G215" s="111">
        <f>SUM(G210:G214)</f>
        <v>15468.48</v>
      </c>
      <c r="H215" s="111">
        <f>SUM(H210:H214)</f>
        <v>14403.440000000002</v>
      </c>
      <c r="I215" s="319">
        <f t="shared" si="29"/>
        <v>6.9323101959363642E-2</v>
      </c>
      <c r="J215" s="111">
        <f>SUM(J210:J214)</f>
        <v>13469.680000000002</v>
      </c>
      <c r="K215" s="7">
        <f>(J215-L215)/L215</f>
        <v>2.0224712292826012E-2</v>
      </c>
      <c r="L215" s="111">
        <v>13202.66</v>
      </c>
      <c r="M215" s="7">
        <v>-1.1332933952373831E-2</v>
      </c>
      <c r="N215" s="111">
        <v>13354</v>
      </c>
      <c r="O215" s="8"/>
      <c r="P215" s="8"/>
      <c r="Q215" s="8"/>
      <c r="R215" s="8"/>
      <c r="S215" s="8"/>
      <c r="T215" s="8"/>
      <c r="U215" s="8"/>
    </row>
    <row r="216" spans="1:21" s="19" customFormat="1">
      <c r="B216" s="112"/>
      <c r="C216" s="112"/>
      <c r="D216" s="112"/>
      <c r="E216" s="112"/>
      <c r="F216" s="112"/>
      <c r="G216" s="112"/>
      <c r="H216" s="317"/>
      <c r="I216" s="318"/>
      <c r="J216" s="317"/>
      <c r="K216" s="112"/>
      <c r="L216" s="112"/>
      <c r="M216" s="112"/>
      <c r="N216" s="112"/>
    </row>
    <row r="217" spans="1:21" s="19" customFormat="1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</row>
    <row r="218" spans="1:21" s="19" customFormat="1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</row>
    <row r="219" spans="1:21" s="19" customFormat="1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</row>
    <row r="220" spans="1:21" s="19" customFormat="1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</row>
    <row r="221" spans="1:21" s="19" customFormat="1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</row>
    <row r="222" spans="1:21" s="19" customFormat="1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</row>
    <row r="223" spans="1:21" s="19" customFormat="1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</row>
    <row r="224" spans="1:21" s="19" customFormat="1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</row>
    <row r="225" spans="2:14" s="19" customFormat="1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</row>
    <row r="226" spans="2:14" s="19" customFormat="1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</row>
    <row r="227" spans="2:14" s="19" customFormat="1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</row>
    <row r="228" spans="2:14" s="19" customFormat="1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</row>
    <row r="229" spans="2:14" s="19" customFormat="1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</row>
    <row r="230" spans="2:14" s="19" customFormat="1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</row>
    <row r="231" spans="2:14" s="19" customFormat="1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</row>
    <row r="232" spans="2:14" s="19" customFormat="1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</row>
    <row r="233" spans="2:14" s="19" customFormat="1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</row>
    <row r="234" spans="2:14" s="19" customFormat="1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</row>
    <row r="235" spans="2:14" s="19" customFormat="1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</row>
    <row r="236" spans="2:14" s="19" customFormat="1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</row>
    <row r="237" spans="2:14" s="19" customFormat="1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</row>
    <row r="238" spans="2:14" s="19" customFormat="1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</row>
    <row r="239" spans="2:14" s="19" customFormat="1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</row>
    <row r="240" spans="2:14" s="19" customFormat="1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</row>
    <row r="241" spans="2:14" s="19" customFormat="1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</row>
    <row r="242" spans="2:14" s="19" customFormat="1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</row>
    <row r="243" spans="2:14" s="19" customFormat="1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</row>
    <row r="244" spans="2:14" s="19" customFormat="1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</row>
    <row r="245" spans="2:14" s="19" customFormat="1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</row>
    <row r="246" spans="2:14" s="19" customFormat="1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</row>
    <row r="247" spans="2:14" s="19" customFormat="1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</row>
    <row r="248" spans="2:14" s="19" customFormat="1"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</row>
    <row r="249" spans="2:14" s="19" customFormat="1"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</row>
    <row r="250" spans="2:14" s="19" customFormat="1"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</row>
    <row r="251" spans="2:14" s="19" customFormat="1"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</row>
    <row r="252" spans="2:14" s="19" customFormat="1"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</row>
    <row r="253" spans="2:14" s="19" customFormat="1"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</row>
    <row r="254" spans="2:14" s="19" customFormat="1"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</row>
    <row r="255" spans="2:14" s="19" customFormat="1"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</row>
    <row r="256" spans="2:14" s="19" customFormat="1"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</row>
    <row r="257" spans="2:14" s="19" customFormat="1"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</row>
    <row r="258" spans="2:14" s="19" customFormat="1"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</row>
    <row r="259" spans="2:14" s="19" customFormat="1"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</row>
    <row r="260" spans="2:14" s="19" customFormat="1"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</row>
    <row r="261" spans="2:14" s="19" customFormat="1"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</row>
    <row r="262" spans="2:14" s="19" customFormat="1"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</row>
    <row r="263" spans="2:14" s="19" customFormat="1"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</row>
    <row r="264" spans="2:14" s="19" customFormat="1"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</row>
    <row r="265" spans="2:14" s="19" customFormat="1"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</row>
    <row r="266" spans="2:14" s="19" customFormat="1"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</row>
    <row r="267" spans="2:14" s="19" customFormat="1"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</row>
    <row r="268" spans="2:14" s="19" customFormat="1"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</row>
    <row r="269" spans="2:14" s="19" customFormat="1"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2"/>
    </row>
    <row r="270" spans="2:14" s="19" customFormat="1"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</row>
    <row r="271" spans="2:14" s="19" customFormat="1"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</row>
    <row r="272" spans="2:14" s="19" customFormat="1"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</row>
    <row r="273" spans="2:14" s="19" customFormat="1"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</row>
    <row r="274" spans="2:14" s="19" customFormat="1"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</row>
    <row r="275" spans="2:14" s="19" customFormat="1"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</row>
    <row r="276" spans="2:14" s="19" customFormat="1"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</row>
    <row r="277" spans="2:14" s="19" customFormat="1"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</row>
    <row r="278" spans="2:14" s="19" customFormat="1"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2"/>
    </row>
    <row r="279" spans="2:14" s="19" customFormat="1"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</row>
    <row r="280" spans="2:14" s="19" customFormat="1"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</row>
    <row r="281" spans="2:14" s="19" customFormat="1"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</row>
    <row r="282" spans="2:14" s="19" customFormat="1"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2"/>
    </row>
    <row r="283" spans="2:14" s="19" customFormat="1"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</row>
    <row r="284" spans="2:14" s="19" customFormat="1"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</row>
    <row r="285" spans="2:14" s="19" customFormat="1"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</row>
    <row r="286" spans="2:14" s="19" customFormat="1"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2"/>
    </row>
    <row r="287" spans="2:14" s="19" customFormat="1"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</row>
    <row r="288" spans="2:14" s="19" customFormat="1"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</row>
    <row r="289" spans="2:14" s="19" customFormat="1"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</row>
    <row r="290" spans="2:14" s="19" customFormat="1"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</row>
    <row r="291" spans="2:14" s="19" customFormat="1"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2"/>
    </row>
    <row r="292" spans="2:14" s="19" customFormat="1"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</row>
    <row r="293" spans="2:14" s="19" customFormat="1"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</row>
    <row r="294" spans="2:14" s="19" customFormat="1"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</row>
    <row r="295" spans="2:14" s="19" customFormat="1"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2"/>
    </row>
    <row r="296" spans="2:14" s="19" customFormat="1"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</row>
    <row r="297" spans="2:14" s="19" customFormat="1"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</row>
    <row r="298" spans="2:14" s="19" customFormat="1"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</row>
    <row r="299" spans="2:14" s="19" customFormat="1"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2"/>
    </row>
    <row r="300" spans="2:14" s="19" customFormat="1"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</row>
    <row r="301" spans="2:14" s="19" customFormat="1"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</row>
    <row r="302" spans="2:14" s="19" customFormat="1"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</row>
    <row r="303" spans="2:14" s="19" customFormat="1"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</row>
    <row r="304" spans="2:14" s="19" customFormat="1"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</row>
    <row r="305" spans="2:14" s="19" customFormat="1"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</row>
    <row r="306" spans="2:14" s="19" customFormat="1"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</row>
    <row r="307" spans="2:14" s="19" customFormat="1"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</row>
    <row r="308" spans="2:14" s="19" customFormat="1"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</row>
    <row r="309" spans="2:14" s="19" customFormat="1"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</row>
    <row r="310" spans="2:14" s="19" customFormat="1"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</row>
    <row r="311" spans="2:14" s="19" customFormat="1"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</row>
    <row r="312" spans="2:14" s="19" customFormat="1"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</row>
    <row r="313" spans="2:14" s="19" customFormat="1"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</row>
    <row r="314" spans="2:14" s="19" customFormat="1"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</row>
    <row r="315" spans="2:14" s="19" customFormat="1"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</row>
    <row r="316" spans="2:14" s="19" customFormat="1"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</row>
    <row r="317" spans="2:14" s="19" customFormat="1"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</row>
    <row r="318" spans="2:14" s="19" customFormat="1"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</row>
    <row r="319" spans="2:14" s="19" customFormat="1"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</row>
    <row r="320" spans="2:14" s="19" customFormat="1"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</row>
    <row r="321" spans="2:14" s="19" customFormat="1"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</row>
    <row r="322" spans="2:14" s="19" customFormat="1"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</row>
    <row r="323" spans="2:14" s="19" customFormat="1"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</row>
    <row r="324" spans="2:14" s="19" customFormat="1"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</row>
    <row r="325" spans="2:14" s="19" customFormat="1"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</row>
    <row r="326" spans="2:14" s="19" customFormat="1"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</row>
    <row r="327" spans="2:14" s="19" customFormat="1"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</row>
    <row r="328" spans="2:14" s="19" customFormat="1"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</row>
    <row r="329" spans="2:14" s="19" customFormat="1"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</row>
    <row r="330" spans="2:14" s="19" customFormat="1"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</row>
    <row r="331" spans="2:14" s="19" customFormat="1"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</row>
    <row r="332" spans="2:14" s="19" customFormat="1"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</row>
    <row r="333" spans="2:14" s="19" customFormat="1"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</row>
    <row r="334" spans="2:14" s="19" customFormat="1"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</row>
    <row r="335" spans="2:14" s="19" customFormat="1"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</row>
    <row r="336" spans="2:14" s="19" customFormat="1"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</row>
    <row r="337" spans="2:14" s="19" customFormat="1"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</row>
    <row r="338" spans="2:14" s="19" customFormat="1"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</row>
    <row r="339" spans="2:14" s="19" customFormat="1"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</row>
    <row r="340" spans="2:14" s="19" customFormat="1"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</row>
    <row r="341" spans="2:14" s="19" customFormat="1"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</row>
    <row r="342" spans="2:14" s="19" customFormat="1"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</row>
    <row r="343" spans="2:14" s="19" customFormat="1"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</row>
    <row r="344" spans="2:14" s="19" customFormat="1"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</row>
    <row r="345" spans="2:14" s="19" customFormat="1"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</row>
    <row r="346" spans="2:14" s="19" customFormat="1"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</row>
    <row r="347" spans="2:14" s="19" customFormat="1"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</row>
    <row r="348" spans="2:14" s="19" customFormat="1"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</row>
    <row r="349" spans="2:14" s="19" customFormat="1"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</row>
    <row r="350" spans="2:14" s="19" customFormat="1"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</row>
    <row r="351" spans="2:14" s="19" customFormat="1"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</row>
    <row r="352" spans="2:14" s="19" customFormat="1"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</row>
    <row r="353" spans="2:14" s="19" customFormat="1"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</row>
    <row r="354" spans="2:14" s="19" customFormat="1"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</row>
    <row r="355" spans="2:14" s="19" customFormat="1"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</row>
    <row r="356" spans="2:14" s="19" customFormat="1"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</row>
    <row r="357" spans="2:14" s="19" customFormat="1"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</row>
    <row r="358" spans="2:14" s="19" customFormat="1"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</row>
    <row r="359" spans="2:14" s="19" customFormat="1"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</row>
    <row r="360" spans="2:14" s="19" customFormat="1"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2"/>
    </row>
    <row r="361" spans="2:14" s="19" customFormat="1"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</row>
    <row r="362" spans="2:14" s="19" customFormat="1"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</row>
    <row r="363" spans="2:14" s="19" customFormat="1"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2"/>
    </row>
    <row r="364" spans="2:14" s="19" customFormat="1"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</row>
    <row r="365" spans="2:14" s="19" customFormat="1">
      <c r="B365" s="112"/>
      <c r="C365" s="112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</row>
    <row r="366" spans="2:14" s="19" customFormat="1">
      <c r="B366" s="112"/>
      <c r="C366" s="112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</row>
    <row r="367" spans="2:14" s="19" customFormat="1">
      <c r="B367" s="112"/>
      <c r="C367" s="112"/>
      <c r="D367" s="112"/>
      <c r="E367" s="112"/>
      <c r="F367" s="112"/>
      <c r="G367" s="112"/>
      <c r="H367" s="112"/>
      <c r="I367" s="112"/>
      <c r="J367" s="112"/>
      <c r="K367" s="112"/>
      <c r="L367" s="112"/>
      <c r="M367" s="112"/>
      <c r="N367" s="112"/>
    </row>
    <row r="368" spans="2:14" s="19" customFormat="1">
      <c r="B368" s="112"/>
      <c r="C368" s="112"/>
      <c r="D368" s="112"/>
      <c r="E368" s="112"/>
      <c r="F368" s="112"/>
      <c r="G368" s="112"/>
      <c r="H368" s="112"/>
      <c r="I368" s="112"/>
      <c r="J368" s="112"/>
      <c r="K368" s="112"/>
      <c r="L368" s="112"/>
      <c r="M368" s="112"/>
      <c r="N368" s="112"/>
    </row>
    <row r="369" spans="2:14" s="19" customFormat="1"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</row>
    <row r="370" spans="2:14" s="19" customFormat="1">
      <c r="B370" s="112"/>
      <c r="C370" s="112"/>
      <c r="D370" s="112"/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</row>
    <row r="371" spans="2:14" s="19" customFormat="1">
      <c r="B371" s="112"/>
      <c r="C371" s="112"/>
      <c r="D371" s="112"/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</row>
    <row r="372" spans="2:14" s="19" customFormat="1"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</row>
    <row r="373" spans="2:14" s="19" customFormat="1">
      <c r="B373" s="112"/>
      <c r="C373" s="112"/>
      <c r="D373" s="112"/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</row>
    <row r="374" spans="2:14" s="19" customFormat="1">
      <c r="B374" s="112"/>
      <c r="C374" s="112"/>
      <c r="D374" s="112"/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</row>
    <row r="375" spans="2:14" s="19" customFormat="1">
      <c r="B375" s="112"/>
      <c r="C375" s="112"/>
      <c r="D375" s="112"/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</row>
    <row r="376" spans="2:14" s="19" customFormat="1">
      <c r="B376" s="112"/>
      <c r="C376" s="112"/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</row>
    <row r="377" spans="2:14" s="19" customFormat="1">
      <c r="B377" s="112"/>
      <c r="C377" s="112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</row>
    <row r="378" spans="2:14" s="19" customFormat="1"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</row>
    <row r="379" spans="2:14" s="19" customFormat="1">
      <c r="B379" s="112"/>
      <c r="C379" s="112"/>
      <c r="D379" s="112"/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</row>
    <row r="380" spans="2:14" s="19" customFormat="1">
      <c r="B380" s="112"/>
      <c r="C380" s="112"/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</row>
    <row r="381" spans="2:14" s="19" customFormat="1">
      <c r="B381" s="112"/>
      <c r="C381" s="112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</row>
    <row r="382" spans="2:14" s="19" customFormat="1">
      <c r="B382" s="112"/>
      <c r="C382" s="112"/>
      <c r="D382" s="112"/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</row>
    <row r="383" spans="2:14" s="19" customFormat="1">
      <c r="B383" s="112"/>
      <c r="C383" s="112"/>
      <c r="D383" s="112"/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</row>
    <row r="384" spans="2:14" s="19" customFormat="1">
      <c r="B384" s="112"/>
      <c r="C384" s="112"/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</row>
    <row r="385" spans="2:14" s="19" customFormat="1">
      <c r="B385" s="112"/>
      <c r="C385" s="112"/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</row>
    <row r="386" spans="2:14" s="19" customFormat="1">
      <c r="B386" s="112"/>
      <c r="C386" s="112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</row>
    <row r="387" spans="2:14" s="19" customFormat="1">
      <c r="B387" s="112"/>
      <c r="C387" s="112"/>
      <c r="D387" s="112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</row>
    <row r="388" spans="2:14" s="19" customFormat="1">
      <c r="B388" s="112"/>
      <c r="C388" s="112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</row>
    <row r="389" spans="2:14" s="19" customFormat="1">
      <c r="B389" s="112"/>
      <c r="C389" s="112"/>
      <c r="D389" s="112"/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</row>
    <row r="390" spans="2:14" s="19" customFormat="1">
      <c r="B390" s="112"/>
      <c r="C390" s="112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</row>
    <row r="391" spans="2:14" s="19" customFormat="1">
      <c r="B391" s="112"/>
      <c r="C391" s="112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</row>
    <row r="392" spans="2:14" s="19" customFormat="1">
      <c r="B392" s="112"/>
      <c r="C392" s="112"/>
      <c r="D392" s="112"/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</row>
    <row r="393" spans="2:14" s="19" customFormat="1">
      <c r="B393" s="112"/>
      <c r="C393" s="112"/>
      <c r="D393" s="112"/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</row>
    <row r="394" spans="2:14" s="19" customFormat="1">
      <c r="B394" s="112"/>
      <c r="C394" s="112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</row>
    <row r="395" spans="2:14" s="19" customFormat="1"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</row>
    <row r="396" spans="2:14" s="19" customFormat="1">
      <c r="B396" s="112"/>
      <c r="C396" s="112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</row>
    <row r="397" spans="2:14" s="19" customFormat="1">
      <c r="B397" s="112"/>
      <c r="C397" s="112"/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</row>
    <row r="398" spans="2:14" s="19" customFormat="1">
      <c r="B398" s="112"/>
      <c r="C398" s="112"/>
      <c r="D398" s="112"/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</row>
    <row r="399" spans="2:14" s="19" customFormat="1">
      <c r="B399" s="112"/>
      <c r="C399" s="112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</row>
    <row r="400" spans="2:14" s="19" customFormat="1">
      <c r="B400" s="112"/>
      <c r="C400" s="112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</row>
    <row r="401" spans="2:14" s="19" customFormat="1">
      <c r="B401" s="112"/>
      <c r="C401" s="112"/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</row>
    <row r="402" spans="2:14" s="19" customFormat="1"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</row>
    <row r="403" spans="2:14" s="19" customFormat="1">
      <c r="B403" s="112"/>
      <c r="C403" s="112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</row>
    <row r="404" spans="2:14" s="19" customFormat="1">
      <c r="B404" s="112"/>
      <c r="C404" s="112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</row>
    <row r="405" spans="2:14" s="19" customFormat="1"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</row>
    <row r="406" spans="2:14" s="19" customFormat="1">
      <c r="B406" s="112"/>
      <c r="C406" s="112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</row>
    <row r="407" spans="2:14" s="19" customFormat="1">
      <c r="B407" s="112"/>
      <c r="C407" s="112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</row>
    <row r="408" spans="2:14" s="19" customFormat="1">
      <c r="B408" s="112"/>
      <c r="C408" s="112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</row>
    <row r="409" spans="2:14" s="19" customFormat="1">
      <c r="B409" s="112"/>
      <c r="C409" s="112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</row>
    <row r="410" spans="2:14" s="19" customFormat="1">
      <c r="B410" s="112"/>
      <c r="C410" s="112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</row>
    <row r="411" spans="2:14" s="19" customFormat="1">
      <c r="B411" s="112"/>
      <c r="C411" s="112"/>
      <c r="D411" s="112"/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</row>
    <row r="412" spans="2:14" s="19" customFormat="1">
      <c r="B412" s="112"/>
      <c r="C412" s="112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</row>
    <row r="413" spans="2:14" s="19" customFormat="1">
      <c r="B413" s="112"/>
      <c r="C413" s="112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</row>
    <row r="414" spans="2:14" s="19" customFormat="1">
      <c r="B414" s="112"/>
      <c r="C414" s="112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</row>
    <row r="415" spans="2:14" s="19" customFormat="1"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</row>
    <row r="416" spans="2:14" s="19" customFormat="1">
      <c r="B416" s="112"/>
      <c r="C416" s="112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</row>
    <row r="417" spans="2:14" s="19" customFormat="1">
      <c r="B417" s="112"/>
      <c r="C417" s="112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</row>
    <row r="418" spans="2:14" s="19" customFormat="1"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</row>
    <row r="419" spans="2:14" s="19" customFormat="1">
      <c r="B419" s="112"/>
      <c r="C419" s="112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</row>
    <row r="420" spans="2:14" s="19" customFormat="1">
      <c r="B420" s="112"/>
      <c r="C420" s="112"/>
      <c r="D420" s="112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</row>
    <row r="421" spans="2:14" s="19" customFormat="1">
      <c r="B421" s="112"/>
      <c r="C421" s="112"/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</row>
    <row r="422" spans="2:14" s="19" customFormat="1">
      <c r="B422" s="112"/>
      <c r="C422" s="112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</row>
    <row r="423" spans="2:14" s="19" customFormat="1">
      <c r="B423" s="112"/>
      <c r="C423" s="112"/>
      <c r="D423" s="112"/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</row>
    <row r="424" spans="2:14" s="19" customFormat="1">
      <c r="B424" s="112"/>
      <c r="C424" s="112"/>
      <c r="D424" s="112"/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</row>
    <row r="425" spans="2:14" s="19" customFormat="1">
      <c r="B425" s="112"/>
      <c r="C425" s="112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</row>
    <row r="426" spans="2:14" s="19" customFormat="1">
      <c r="B426" s="112"/>
      <c r="C426" s="112"/>
      <c r="D426" s="112"/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</row>
    <row r="427" spans="2:14" s="19" customFormat="1">
      <c r="B427" s="112"/>
      <c r="C427" s="112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</row>
    <row r="428" spans="2:14" s="19" customFormat="1"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</row>
    <row r="429" spans="2:14" s="19" customFormat="1">
      <c r="B429" s="112"/>
      <c r="C429" s="112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</row>
    <row r="430" spans="2:14" s="19" customFormat="1">
      <c r="B430" s="112"/>
      <c r="C430" s="112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</row>
    <row r="431" spans="2:14" s="19" customFormat="1">
      <c r="B431" s="112"/>
      <c r="C431" s="112"/>
      <c r="D431" s="112"/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</row>
    <row r="432" spans="2:14" s="19" customFormat="1"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</row>
    <row r="433" spans="2:14" s="19" customFormat="1">
      <c r="B433" s="112"/>
      <c r="C433" s="112"/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</row>
    <row r="434" spans="2:14" s="19" customFormat="1"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</row>
    <row r="435" spans="2:14" s="19" customFormat="1">
      <c r="B435" s="112"/>
      <c r="C435" s="112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</row>
    <row r="436" spans="2:14" s="19" customFormat="1">
      <c r="B436" s="112"/>
      <c r="C436" s="112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</row>
    <row r="437" spans="2:14" s="19" customFormat="1">
      <c r="B437" s="112"/>
      <c r="C437" s="112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</row>
    <row r="438" spans="2:14" s="19" customFormat="1">
      <c r="B438" s="112"/>
      <c r="C438" s="112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</row>
    <row r="439" spans="2:14" s="19" customFormat="1"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</row>
    <row r="440" spans="2:14" s="19" customFormat="1">
      <c r="B440" s="112"/>
      <c r="C440" s="112"/>
      <c r="D440" s="112"/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</row>
    <row r="441" spans="2:14" s="19" customFormat="1"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</row>
    <row r="442" spans="2:14" s="19" customFormat="1">
      <c r="B442" s="112"/>
      <c r="C442" s="112"/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</row>
    <row r="443" spans="2:14" s="19" customFormat="1">
      <c r="B443" s="112"/>
      <c r="C443" s="112"/>
      <c r="D443" s="112"/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</row>
    <row r="444" spans="2:14" s="19" customFormat="1">
      <c r="B444" s="112"/>
      <c r="C444" s="112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</row>
    <row r="445" spans="2:14" s="19" customFormat="1">
      <c r="B445" s="112"/>
      <c r="C445" s="112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</row>
    <row r="446" spans="2:14" s="19" customFormat="1">
      <c r="B446" s="112"/>
      <c r="C446" s="112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</row>
    <row r="447" spans="2:14" s="19" customFormat="1"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</row>
    <row r="448" spans="2:14" s="19" customFormat="1">
      <c r="B448" s="112"/>
      <c r="C448" s="112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</row>
    <row r="449" spans="2:14" s="19" customFormat="1">
      <c r="B449" s="112"/>
      <c r="C449" s="112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</row>
    <row r="450" spans="2:14" s="19" customFormat="1"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</row>
    <row r="451" spans="2:14" s="19" customFormat="1">
      <c r="B451" s="112"/>
      <c r="C451" s="112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</row>
    <row r="452" spans="2:14" s="19" customFormat="1"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</row>
    <row r="453" spans="2:14" s="19" customFormat="1"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</row>
    <row r="454" spans="2:14" s="19" customFormat="1">
      <c r="B454" s="112"/>
      <c r="C454" s="112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</row>
    <row r="455" spans="2:14" s="19" customFormat="1">
      <c r="B455" s="112"/>
      <c r="C455" s="112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</row>
    <row r="456" spans="2:14" s="19" customFormat="1">
      <c r="B456" s="112"/>
      <c r="C456" s="112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</row>
    <row r="457" spans="2:14" s="19" customFormat="1">
      <c r="B457" s="112"/>
      <c r="C457" s="112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</row>
    <row r="458" spans="2:14" s="19" customFormat="1">
      <c r="B458" s="112"/>
      <c r="C458" s="112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</row>
    <row r="459" spans="2:14" s="19" customFormat="1"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</row>
    <row r="460" spans="2:14" s="19" customFormat="1">
      <c r="B460" s="112"/>
      <c r="C460" s="112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</row>
    <row r="461" spans="2:14" s="19" customFormat="1"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</row>
    <row r="462" spans="2:14" s="19" customFormat="1">
      <c r="B462" s="112"/>
      <c r="C462" s="112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</row>
    <row r="463" spans="2:14" s="19" customFormat="1"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</row>
    <row r="464" spans="2:14" s="19" customFormat="1"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</row>
    <row r="465" spans="2:14" s="19" customFormat="1">
      <c r="B465" s="112"/>
      <c r="C465" s="112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</row>
    <row r="466" spans="2:14" s="19" customFormat="1">
      <c r="B466" s="112"/>
      <c r="C466" s="112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</row>
    <row r="467" spans="2:14" s="19" customFormat="1">
      <c r="B467" s="112"/>
      <c r="C467" s="112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</row>
    <row r="468" spans="2:14" s="19" customFormat="1"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</row>
    <row r="469" spans="2:14" s="19" customFormat="1"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</row>
    <row r="470" spans="2:14" s="19" customFormat="1"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</row>
    <row r="471" spans="2:14" s="19" customFormat="1">
      <c r="B471" s="112"/>
      <c r="C471" s="112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</row>
    <row r="472" spans="2:14" s="19" customFormat="1">
      <c r="B472" s="112"/>
      <c r="C472" s="112"/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</row>
    <row r="473" spans="2:14" s="19" customFormat="1"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</row>
    <row r="474" spans="2:14" s="19" customFormat="1">
      <c r="B474" s="112"/>
      <c r="C474" s="112"/>
      <c r="D474" s="112"/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</row>
    <row r="475" spans="2:14" s="19" customFormat="1"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</row>
    <row r="476" spans="2:14" s="19" customFormat="1"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</row>
    <row r="477" spans="2:14" s="19" customFormat="1">
      <c r="B477" s="112"/>
      <c r="C477" s="112"/>
      <c r="D477" s="112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</row>
    <row r="478" spans="2:14" s="19" customFormat="1">
      <c r="B478" s="112"/>
      <c r="C478" s="112"/>
      <c r="D478" s="112"/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</row>
    <row r="479" spans="2:14" s="19" customFormat="1"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</row>
    <row r="480" spans="2:14" s="19" customFormat="1">
      <c r="B480" s="112"/>
      <c r="C480" s="112"/>
      <c r="D480" s="112"/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</row>
    <row r="481" spans="2:14" s="19" customFormat="1"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</row>
    <row r="482" spans="2:14" s="19" customFormat="1"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</row>
    <row r="483" spans="2:14" s="19" customFormat="1"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</row>
    <row r="484" spans="2:14" s="19" customFormat="1"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</row>
    <row r="485" spans="2:14" s="19" customFormat="1"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</row>
    <row r="486" spans="2:14" s="19" customFormat="1"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</row>
    <row r="487" spans="2:14" s="19" customFormat="1">
      <c r="B487" s="112"/>
      <c r="C487" s="112"/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</row>
    <row r="488" spans="2:14" s="19" customFormat="1"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</row>
    <row r="489" spans="2:14" s="19" customFormat="1">
      <c r="B489" s="112"/>
      <c r="C489" s="112"/>
      <c r="D489" s="112"/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</row>
    <row r="490" spans="2:14" s="19" customFormat="1"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</row>
    <row r="491" spans="2:14" s="19" customFormat="1"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</row>
    <row r="492" spans="2:14" s="19" customFormat="1"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</row>
    <row r="493" spans="2:14" s="19" customFormat="1">
      <c r="B493" s="112"/>
      <c r="C493" s="112"/>
      <c r="D493" s="112"/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</row>
    <row r="494" spans="2:14" s="19" customFormat="1">
      <c r="B494" s="112"/>
      <c r="C494" s="112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</row>
    <row r="495" spans="2:14" s="19" customFormat="1">
      <c r="B495" s="112"/>
      <c r="C495" s="112"/>
      <c r="D495" s="112"/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</row>
    <row r="496" spans="2:14" s="19" customFormat="1">
      <c r="B496" s="112"/>
      <c r="C496" s="112"/>
      <c r="D496" s="112"/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</row>
    <row r="497" spans="2:14" s="19" customFormat="1">
      <c r="B497" s="112"/>
      <c r="C497" s="112"/>
      <c r="D497" s="112"/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</row>
    <row r="498" spans="2:14" s="19" customFormat="1">
      <c r="B498" s="112"/>
      <c r="C498" s="112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</row>
    <row r="499" spans="2:14" s="19" customFormat="1"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</row>
    <row r="500" spans="2:14" s="19" customFormat="1"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</row>
    <row r="501" spans="2:14" s="19" customFormat="1"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</row>
    <row r="502" spans="2:14" s="19" customFormat="1">
      <c r="B502" s="112"/>
      <c r="C502" s="112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</row>
    <row r="503" spans="2:14" s="19" customFormat="1">
      <c r="B503" s="112"/>
      <c r="C503" s="112"/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</row>
    <row r="504" spans="2:14" s="19" customFormat="1">
      <c r="B504" s="112"/>
      <c r="C504" s="112"/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</row>
    <row r="505" spans="2:14" s="19" customFormat="1">
      <c r="B505" s="112"/>
      <c r="C505" s="112"/>
      <c r="D505" s="112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</row>
    <row r="506" spans="2:14" s="19" customFormat="1">
      <c r="B506" s="112"/>
      <c r="C506" s="112"/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</row>
    <row r="507" spans="2:14" s="19" customFormat="1"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</row>
    <row r="508" spans="2:14" s="19" customFormat="1">
      <c r="B508" s="112"/>
      <c r="C508" s="112"/>
      <c r="D508" s="112"/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</row>
    <row r="509" spans="2:14" s="19" customFormat="1">
      <c r="B509" s="112"/>
      <c r="C509" s="112"/>
      <c r="D509" s="112"/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</row>
    <row r="510" spans="2:14" s="19" customFormat="1"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</row>
    <row r="511" spans="2:14" s="19" customFormat="1">
      <c r="B511" s="112"/>
      <c r="C511" s="112"/>
      <c r="D511" s="112"/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</row>
    <row r="512" spans="2:14" s="19" customFormat="1">
      <c r="B512" s="112"/>
      <c r="C512" s="112"/>
      <c r="D512" s="112"/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</row>
    <row r="513" spans="2:14" s="19" customFormat="1"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</row>
    <row r="514" spans="2:14" s="19" customFormat="1">
      <c r="B514" s="112"/>
      <c r="C514" s="112"/>
      <c r="D514" s="112"/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</row>
    <row r="515" spans="2:14" s="19" customFormat="1">
      <c r="B515" s="112"/>
      <c r="C515" s="112"/>
      <c r="D515" s="112"/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</row>
    <row r="516" spans="2:14" s="19" customFormat="1"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</row>
    <row r="517" spans="2:14" s="19" customFormat="1"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</row>
    <row r="518" spans="2:14" s="19" customFormat="1"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</row>
    <row r="519" spans="2:14" s="19" customFormat="1"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</row>
    <row r="520" spans="2:14" s="19" customFormat="1"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</row>
    <row r="521" spans="2:14" s="19" customFormat="1">
      <c r="B521" s="112"/>
      <c r="C521" s="112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</row>
    <row r="522" spans="2:14" s="19" customFormat="1"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</row>
    <row r="523" spans="2:14" s="19" customFormat="1">
      <c r="B523" s="112"/>
      <c r="C523" s="112"/>
      <c r="D523" s="112"/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</row>
    <row r="524" spans="2:14" s="19" customFormat="1"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</row>
    <row r="525" spans="2:14" s="19" customFormat="1"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</row>
    <row r="526" spans="2:14" s="19" customFormat="1">
      <c r="B526" s="112"/>
      <c r="C526" s="112"/>
      <c r="D526" s="112"/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</row>
    <row r="527" spans="2:14" s="19" customFormat="1">
      <c r="B527" s="112"/>
      <c r="C527" s="112"/>
      <c r="D527" s="112"/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</row>
    <row r="528" spans="2:14" s="19" customFormat="1">
      <c r="B528" s="112"/>
      <c r="C528" s="112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</row>
    <row r="529" spans="2:14" s="19" customFormat="1"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</row>
    <row r="530" spans="2:14" s="19" customFormat="1"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</row>
    <row r="531" spans="2:14" s="19" customFormat="1">
      <c r="B531" s="112"/>
      <c r="C531" s="112"/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</row>
    <row r="532" spans="2:14" s="19" customFormat="1">
      <c r="B532" s="112"/>
      <c r="C532" s="112"/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</row>
    <row r="533" spans="2:14" s="19" customFormat="1">
      <c r="B533" s="112"/>
      <c r="C533" s="112"/>
      <c r="D533" s="112"/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</row>
    <row r="534" spans="2:14" s="19" customFormat="1">
      <c r="B534" s="112"/>
      <c r="C534" s="112"/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</row>
    <row r="535" spans="2:14" s="19" customFormat="1"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</row>
    <row r="536" spans="2:14" s="19" customFormat="1"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</row>
    <row r="537" spans="2:14" s="19" customFormat="1"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</row>
    <row r="538" spans="2:14" s="19" customFormat="1">
      <c r="B538" s="112"/>
      <c r="C538" s="112"/>
      <c r="D538" s="112"/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</row>
    <row r="539" spans="2:14" s="19" customFormat="1"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</row>
    <row r="540" spans="2:14" s="19" customFormat="1">
      <c r="B540" s="112"/>
      <c r="C540" s="112"/>
      <c r="D540" s="112"/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</row>
    <row r="541" spans="2:14" s="19" customFormat="1">
      <c r="B541" s="112"/>
      <c r="C541" s="112"/>
      <c r="D541" s="112"/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</row>
    <row r="542" spans="2:14" s="19" customFormat="1">
      <c r="B542" s="112"/>
      <c r="C542" s="112"/>
      <c r="D542" s="112"/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</row>
    <row r="543" spans="2:14" s="19" customFormat="1">
      <c r="B543" s="112"/>
      <c r="C543" s="112"/>
      <c r="D543" s="112"/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</row>
    <row r="544" spans="2:14" s="19" customFormat="1">
      <c r="B544" s="112"/>
      <c r="C544" s="112"/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</row>
    <row r="545" spans="2:14" s="19" customFormat="1">
      <c r="B545" s="112"/>
      <c r="C545" s="112"/>
      <c r="D545" s="112"/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</row>
    <row r="546" spans="2:14" s="19" customFormat="1">
      <c r="B546" s="112"/>
      <c r="C546" s="112"/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</row>
    <row r="547" spans="2:14" s="19" customFormat="1"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</row>
    <row r="548" spans="2:14" s="19" customFormat="1"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</row>
    <row r="549" spans="2:14" s="19" customFormat="1">
      <c r="B549" s="112"/>
      <c r="C549" s="112"/>
      <c r="D549" s="112"/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</row>
    <row r="550" spans="2:14" s="19" customFormat="1"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</row>
    <row r="551" spans="2:14" s="19" customFormat="1"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</row>
    <row r="552" spans="2:14" s="19" customFormat="1"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</row>
    <row r="553" spans="2:14" s="19" customFormat="1"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</row>
    <row r="554" spans="2:14" s="19" customFormat="1">
      <c r="B554" s="112"/>
      <c r="C554" s="112"/>
      <c r="D554" s="112"/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</row>
    <row r="555" spans="2:14" s="19" customFormat="1">
      <c r="B555" s="112"/>
      <c r="C555" s="112"/>
      <c r="D555" s="112"/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</row>
    <row r="556" spans="2:14" s="19" customFormat="1"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</row>
    <row r="557" spans="2:14" s="19" customFormat="1">
      <c r="B557" s="112"/>
      <c r="C557" s="112"/>
      <c r="D557" s="112"/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</row>
    <row r="558" spans="2:14" s="19" customFormat="1"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</row>
    <row r="559" spans="2:14" s="19" customFormat="1"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</row>
    <row r="560" spans="2:14" s="19" customFormat="1"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</row>
    <row r="561" spans="2:14" s="19" customFormat="1">
      <c r="B561" s="112"/>
      <c r="C561" s="112"/>
      <c r="D561" s="112"/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</row>
    <row r="562" spans="2:14" s="19" customFormat="1"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</row>
    <row r="563" spans="2:14" s="19" customFormat="1">
      <c r="B563" s="112"/>
      <c r="C563" s="112"/>
      <c r="D563" s="112"/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</row>
    <row r="564" spans="2:14" s="19" customFormat="1">
      <c r="B564" s="112"/>
      <c r="C564" s="112"/>
      <c r="D564" s="112"/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</row>
    <row r="565" spans="2:14" s="19" customFormat="1"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</row>
    <row r="566" spans="2:14" s="19" customFormat="1">
      <c r="B566" s="112"/>
      <c r="C566" s="112"/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</row>
    <row r="567" spans="2:14" s="19" customFormat="1">
      <c r="B567" s="112"/>
      <c r="C567" s="112"/>
      <c r="D567" s="112"/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</row>
    <row r="568" spans="2:14" s="19" customFormat="1">
      <c r="B568" s="112"/>
      <c r="C568" s="112"/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</row>
    <row r="569" spans="2:14" s="19" customFormat="1"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</row>
    <row r="570" spans="2:14" s="19" customFormat="1"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</row>
    <row r="571" spans="2:14" s="19" customFormat="1">
      <c r="B571" s="112"/>
      <c r="C571" s="112"/>
      <c r="D571" s="112"/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</row>
    <row r="572" spans="2:14" s="19" customFormat="1"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</row>
    <row r="573" spans="2:14" s="19" customFormat="1">
      <c r="B573" s="112"/>
      <c r="C573" s="112"/>
      <c r="D573" s="112"/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</row>
    <row r="574" spans="2:14" s="19" customFormat="1">
      <c r="B574" s="112"/>
      <c r="C574" s="112"/>
      <c r="D574" s="112"/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</row>
    <row r="575" spans="2:14" s="19" customFormat="1"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</row>
    <row r="576" spans="2:14" s="19" customFormat="1">
      <c r="B576" s="112"/>
      <c r="C576" s="112"/>
      <c r="D576" s="112"/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</row>
    <row r="577" spans="2:14" s="19" customFormat="1">
      <c r="B577" s="112"/>
      <c r="C577" s="112"/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</row>
    <row r="578" spans="2:14" s="19" customFormat="1"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</row>
    <row r="579" spans="2:14" s="19" customFormat="1"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</row>
    <row r="580" spans="2:14" s="19" customFormat="1">
      <c r="B580" s="112"/>
      <c r="C580" s="112"/>
      <c r="D580" s="112"/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</row>
    <row r="581" spans="2:14" s="19" customFormat="1">
      <c r="B581" s="112"/>
      <c r="C581" s="112"/>
      <c r="D581" s="112"/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</row>
    <row r="582" spans="2:14" s="19" customFormat="1">
      <c r="B582" s="112"/>
      <c r="C582" s="112"/>
      <c r="D582" s="112"/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</row>
    <row r="583" spans="2:14" s="19" customFormat="1">
      <c r="B583" s="112"/>
      <c r="C583" s="112"/>
      <c r="D583" s="112"/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</row>
    <row r="584" spans="2:14" s="19" customFormat="1">
      <c r="B584" s="112"/>
      <c r="C584" s="112"/>
      <c r="D584" s="112"/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</row>
    <row r="585" spans="2:14" s="19" customFormat="1">
      <c r="B585" s="112"/>
      <c r="C585" s="112"/>
      <c r="D585" s="112"/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</row>
    <row r="586" spans="2:14" s="19" customFormat="1"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</row>
    <row r="587" spans="2:14" s="19" customFormat="1">
      <c r="B587" s="112"/>
      <c r="C587" s="112"/>
      <c r="D587" s="112"/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</row>
    <row r="588" spans="2:14" s="19" customFormat="1">
      <c r="B588" s="112"/>
      <c r="C588" s="112"/>
      <c r="D588" s="112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</row>
    <row r="589" spans="2:14" s="19" customFormat="1"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</row>
    <row r="590" spans="2:14" s="19" customFormat="1">
      <c r="B590" s="112"/>
      <c r="C590" s="112"/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</row>
    <row r="591" spans="2:14" s="19" customFormat="1">
      <c r="B591" s="112"/>
      <c r="C591" s="112"/>
      <c r="D591" s="112"/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</row>
    <row r="592" spans="2:14" s="19" customFormat="1">
      <c r="B592" s="112"/>
      <c r="C592" s="112"/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</row>
    <row r="593" spans="2:14" s="19" customFormat="1">
      <c r="B593" s="112"/>
      <c r="C593" s="112"/>
      <c r="D593" s="112"/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</row>
    <row r="594" spans="2:14" s="19" customFormat="1"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</row>
    <row r="595" spans="2:14" s="19" customFormat="1"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</row>
    <row r="596" spans="2:14" s="19" customFormat="1"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</row>
    <row r="597" spans="2:14" s="19" customFormat="1">
      <c r="B597" s="112"/>
      <c r="C597" s="112"/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</row>
    <row r="598" spans="2:14" s="19" customFormat="1"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</row>
    <row r="599" spans="2:14" s="19" customFormat="1">
      <c r="B599" s="112"/>
      <c r="C599" s="112"/>
      <c r="D599" s="112"/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</row>
    <row r="600" spans="2:14" s="19" customFormat="1"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</row>
    <row r="601" spans="2:14" s="19" customFormat="1">
      <c r="B601" s="112"/>
      <c r="C601" s="112"/>
      <c r="D601" s="112"/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</row>
    <row r="602" spans="2:14" s="19" customFormat="1">
      <c r="B602" s="112"/>
      <c r="C602" s="112"/>
      <c r="D602" s="112"/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</row>
    <row r="603" spans="2:14" s="19" customFormat="1">
      <c r="B603" s="112"/>
      <c r="C603" s="112"/>
      <c r="D603" s="112"/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</row>
    <row r="604" spans="2:14" s="19" customFormat="1">
      <c r="B604" s="112"/>
      <c r="C604" s="112"/>
      <c r="D604" s="112"/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</row>
    <row r="605" spans="2:14" s="19" customFormat="1">
      <c r="B605" s="112"/>
      <c r="C605" s="112"/>
      <c r="D605" s="112"/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</row>
    <row r="606" spans="2:14" s="19" customFormat="1"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</row>
    <row r="607" spans="2:14" s="19" customFormat="1">
      <c r="B607" s="112"/>
      <c r="C607" s="112"/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</row>
    <row r="608" spans="2:14" s="19" customFormat="1">
      <c r="B608" s="112"/>
      <c r="C608" s="112"/>
      <c r="D608" s="112"/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</row>
    <row r="609" spans="2:14" s="19" customFormat="1">
      <c r="B609" s="112"/>
      <c r="C609" s="112"/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</row>
    <row r="610" spans="2:14" s="19" customFormat="1">
      <c r="B610" s="112"/>
      <c r="C610" s="112"/>
      <c r="D610" s="112"/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</row>
    <row r="611" spans="2:14" s="19" customFormat="1"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</row>
    <row r="612" spans="2:14" s="19" customFormat="1">
      <c r="B612" s="112"/>
      <c r="C612" s="112"/>
      <c r="D612" s="112"/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</row>
    <row r="613" spans="2:14" s="19" customFormat="1"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</row>
    <row r="614" spans="2:14" s="19" customFormat="1">
      <c r="B614" s="112"/>
      <c r="C614" s="112"/>
      <c r="D614" s="112"/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</row>
    <row r="615" spans="2:14" s="19" customFormat="1">
      <c r="B615" s="112"/>
      <c r="C615" s="112"/>
      <c r="D615" s="112"/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</row>
    <row r="616" spans="2:14" s="19" customFormat="1">
      <c r="B616" s="112"/>
      <c r="C616" s="112"/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</row>
    <row r="617" spans="2:14" s="19" customFormat="1">
      <c r="B617" s="112"/>
      <c r="C617" s="112"/>
      <c r="D617" s="112"/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</row>
    <row r="618" spans="2:14" s="19" customFormat="1">
      <c r="B618" s="112"/>
      <c r="C618" s="112"/>
      <c r="D618" s="112"/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</row>
    <row r="619" spans="2:14" s="19" customFormat="1">
      <c r="B619" s="112"/>
      <c r="C619" s="112"/>
      <c r="D619" s="112"/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</row>
    <row r="620" spans="2:14" s="19" customFormat="1">
      <c r="B620" s="112"/>
      <c r="C620" s="112"/>
      <c r="D620" s="112"/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</row>
    <row r="621" spans="2:14" s="19" customFormat="1">
      <c r="B621" s="112"/>
      <c r="C621" s="112"/>
      <c r="D621" s="112"/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</row>
    <row r="622" spans="2:14" s="19" customFormat="1">
      <c r="B622" s="112"/>
      <c r="C622" s="112"/>
      <c r="D622" s="112"/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</row>
    <row r="623" spans="2:14" s="19" customFormat="1">
      <c r="B623" s="112"/>
      <c r="C623" s="112"/>
      <c r="D623" s="112"/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</row>
    <row r="624" spans="2:14" s="19" customFormat="1">
      <c r="B624" s="112"/>
      <c r="C624" s="112"/>
      <c r="D624" s="112"/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</row>
    <row r="625" spans="2:14" s="19" customFormat="1">
      <c r="B625" s="112"/>
      <c r="C625" s="112"/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</row>
    <row r="626" spans="2:14" s="19" customFormat="1">
      <c r="B626" s="112"/>
      <c r="C626" s="112"/>
      <c r="D626" s="112"/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</row>
    <row r="627" spans="2:14" s="19" customFormat="1">
      <c r="B627" s="112"/>
      <c r="C627" s="112"/>
      <c r="D627" s="112"/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</row>
    <row r="628" spans="2:14" s="19" customFormat="1">
      <c r="B628" s="112"/>
      <c r="C628" s="112"/>
      <c r="D628" s="112"/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</row>
    <row r="629" spans="2:14" s="19" customFormat="1">
      <c r="B629" s="112"/>
      <c r="C629" s="112"/>
      <c r="D629" s="112"/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</row>
    <row r="630" spans="2:14" s="19" customFormat="1"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</row>
    <row r="631" spans="2:14" s="19" customFormat="1">
      <c r="B631" s="112"/>
      <c r="C631" s="112"/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</row>
    <row r="632" spans="2:14" s="19" customFormat="1"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</row>
    <row r="633" spans="2:14" s="19" customFormat="1">
      <c r="B633" s="112"/>
      <c r="C633" s="112"/>
      <c r="D633" s="112"/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</row>
    <row r="634" spans="2:14" s="19" customFormat="1">
      <c r="B634" s="112"/>
      <c r="C634" s="112"/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</row>
    <row r="635" spans="2:14" s="19" customFormat="1">
      <c r="B635" s="112"/>
      <c r="C635" s="112"/>
      <c r="D635" s="112"/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</row>
    <row r="636" spans="2:14" s="19" customFormat="1"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</row>
    <row r="637" spans="2:14" s="19" customFormat="1">
      <c r="B637" s="112"/>
      <c r="C637" s="112"/>
      <c r="D637" s="112"/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</row>
    <row r="638" spans="2:14" s="19" customFormat="1"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</row>
    <row r="639" spans="2:14" s="19" customFormat="1">
      <c r="B639" s="112"/>
      <c r="C639" s="112"/>
      <c r="D639" s="112"/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</row>
    <row r="640" spans="2:14" s="19" customFormat="1">
      <c r="B640" s="112"/>
      <c r="C640" s="112"/>
      <c r="D640" s="112"/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</row>
    <row r="641" spans="2:14" s="19" customFormat="1">
      <c r="B641" s="112"/>
      <c r="C641" s="112"/>
      <c r="D641" s="112"/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</row>
    <row r="642" spans="2:14" s="19" customFormat="1">
      <c r="B642" s="112"/>
      <c r="C642" s="112"/>
      <c r="D642" s="112"/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</row>
    <row r="643" spans="2:14" s="19" customFormat="1">
      <c r="B643" s="112"/>
      <c r="C643" s="112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</row>
    <row r="644" spans="2:14" s="19" customFormat="1">
      <c r="B644" s="112"/>
      <c r="C644" s="112"/>
      <c r="D644" s="112"/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</row>
    <row r="645" spans="2:14" s="19" customFormat="1"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</row>
    <row r="646" spans="2:14" s="19" customFormat="1">
      <c r="B646" s="112"/>
      <c r="C646" s="112"/>
      <c r="D646" s="112"/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</row>
    <row r="647" spans="2:14" s="19" customFormat="1">
      <c r="B647" s="112"/>
      <c r="C647" s="112"/>
      <c r="D647" s="112"/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</row>
    <row r="648" spans="2:14" s="19" customFormat="1">
      <c r="B648" s="112"/>
      <c r="C648" s="112"/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</row>
    <row r="649" spans="2:14" s="19" customFormat="1">
      <c r="B649" s="112"/>
      <c r="C649" s="112"/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</row>
    <row r="650" spans="2:14" s="19" customFormat="1">
      <c r="B650" s="112"/>
      <c r="C650" s="112"/>
      <c r="D650" s="112"/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</row>
    <row r="651" spans="2:14" s="19" customFormat="1">
      <c r="B651" s="112"/>
      <c r="C651" s="112"/>
      <c r="D651" s="112"/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</row>
    <row r="652" spans="2:14" s="19" customFormat="1">
      <c r="B652" s="112"/>
      <c r="C652" s="112"/>
      <c r="D652" s="112"/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</row>
    <row r="653" spans="2:14" s="19" customFormat="1">
      <c r="B653" s="112"/>
      <c r="C653" s="112"/>
      <c r="D653" s="112"/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</row>
    <row r="654" spans="2:14" s="19" customFormat="1"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</row>
    <row r="655" spans="2:14" s="19" customFormat="1">
      <c r="B655" s="112"/>
      <c r="C655" s="112"/>
      <c r="D655" s="112"/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</row>
    <row r="656" spans="2:14" s="19" customFormat="1">
      <c r="B656" s="112"/>
      <c r="C656" s="112"/>
      <c r="D656" s="112"/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</row>
    <row r="657" spans="2:14" s="19" customFormat="1">
      <c r="B657" s="112"/>
      <c r="C657" s="112"/>
      <c r="D657" s="112"/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</row>
    <row r="658" spans="2:14" s="19" customFormat="1">
      <c r="B658" s="112"/>
      <c r="C658" s="112"/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</row>
    <row r="659" spans="2:14" s="19" customFormat="1">
      <c r="B659" s="112"/>
      <c r="C659" s="112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</row>
    <row r="660" spans="2:14" s="19" customFormat="1">
      <c r="B660" s="112"/>
      <c r="C660" s="112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</row>
    <row r="661" spans="2:14" s="19" customFormat="1">
      <c r="B661" s="112"/>
      <c r="C661" s="112"/>
      <c r="D661" s="112"/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</row>
    <row r="662" spans="2:14" s="19" customFormat="1">
      <c r="B662" s="112"/>
      <c r="C662" s="112"/>
      <c r="D662" s="112"/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</row>
    <row r="663" spans="2:14" s="19" customFormat="1">
      <c r="B663" s="112"/>
      <c r="C663" s="112"/>
      <c r="D663" s="112"/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</row>
    <row r="664" spans="2:14" s="19" customFormat="1">
      <c r="B664" s="112"/>
      <c r="C664" s="112"/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</row>
    <row r="665" spans="2:14" s="19" customFormat="1">
      <c r="B665" s="112"/>
      <c r="C665" s="112"/>
      <c r="D665" s="112"/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</row>
    <row r="666" spans="2:14" s="19" customFormat="1"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</row>
    <row r="667" spans="2:14" s="19" customFormat="1">
      <c r="B667" s="112"/>
      <c r="C667" s="112"/>
      <c r="D667" s="112"/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</row>
    <row r="668" spans="2:14" s="19" customFormat="1"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</row>
    <row r="669" spans="2:14" s="19" customFormat="1">
      <c r="B669" s="112"/>
      <c r="C669" s="112"/>
      <c r="D669" s="112"/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</row>
    <row r="670" spans="2:14" s="19" customFormat="1">
      <c r="B670" s="112"/>
      <c r="C670" s="112"/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</row>
    <row r="671" spans="2:14" s="19" customFormat="1">
      <c r="B671" s="112"/>
      <c r="C671" s="112"/>
      <c r="D671" s="112"/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</row>
    <row r="672" spans="2:14" s="19" customFormat="1">
      <c r="B672" s="112"/>
      <c r="C672" s="112"/>
      <c r="D672" s="112"/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</row>
    <row r="673" spans="2:14" s="19" customFormat="1">
      <c r="B673" s="112"/>
      <c r="C673" s="112"/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</row>
    <row r="674" spans="2:14" s="19" customFormat="1">
      <c r="B674" s="112"/>
      <c r="C674" s="112"/>
      <c r="D674" s="112"/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</row>
    <row r="675" spans="2:14" s="19" customFormat="1">
      <c r="B675" s="112"/>
      <c r="C675" s="112"/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</row>
    <row r="676" spans="2:14" s="19" customFormat="1">
      <c r="B676" s="112"/>
      <c r="C676" s="112"/>
      <c r="D676" s="112"/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</row>
    <row r="677" spans="2:14" s="19" customFormat="1"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</row>
    <row r="678" spans="2:14" s="19" customFormat="1">
      <c r="B678" s="112"/>
      <c r="C678" s="112"/>
      <c r="D678" s="112"/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</row>
    <row r="679" spans="2:14" s="19" customFormat="1">
      <c r="B679" s="112"/>
      <c r="C679" s="112"/>
      <c r="D679" s="112"/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</row>
    <row r="680" spans="2:14" s="19" customFormat="1">
      <c r="B680" s="112"/>
      <c r="C680" s="112"/>
      <c r="D680" s="112"/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</row>
    <row r="681" spans="2:14" s="19" customFormat="1">
      <c r="B681" s="112"/>
      <c r="C681" s="112"/>
      <c r="D681" s="112"/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</row>
    <row r="682" spans="2:14" s="19" customFormat="1">
      <c r="B682" s="112"/>
      <c r="C682" s="112"/>
      <c r="D682" s="112"/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</row>
    <row r="683" spans="2:14" s="19" customFormat="1">
      <c r="B683" s="112"/>
      <c r="C683" s="112"/>
      <c r="D683" s="112"/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</row>
    <row r="684" spans="2:14" s="19" customFormat="1">
      <c r="B684" s="112"/>
      <c r="C684" s="112"/>
      <c r="D684" s="112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</row>
    <row r="685" spans="2:14" s="19" customFormat="1">
      <c r="B685" s="112"/>
      <c r="C685" s="112"/>
      <c r="D685" s="112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</row>
    <row r="686" spans="2:14" s="19" customFormat="1">
      <c r="B686" s="112"/>
      <c r="C686" s="112"/>
      <c r="D686" s="112"/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</row>
    <row r="687" spans="2:14" s="19" customFormat="1">
      <c r="B687" s="112"/>
      <c r="C687" s="112"/>
      <c r="D687" s="112"/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</row>
    <row r="688" spans="2:14" s="19" customFormat="1">
      <c r="B688" s="112"/>
      <c r="C688" s="112"/>
      <c r="D688" s="112"/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</row>
    <row r="689" spans="2:14" s="19" customFormat="1">
      <c r="B689" s="112"/>
      <c r="C689" s="112"/>
      <c r="D689" s="112"/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</row>
    <row r="690" spans="2:14" s="19" customFormat="1">
      <c r="B690" s="112"/>
      <c r="C690" s="112"/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</row>
    <row r="691" spans="2:14" s="19" customFormat="1"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</row>
    <row r="692" spans="2:14" s="19" customFormat="1">
      <c r="B692" s="112"/>
      <c r="C692" s="112"/>
      <c r="D692" s="112"/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</row>
    <row r="693" spans="2:14" s="19" customFormat="1">
      <c r="B693" s="112"/>
      <c r="C693" s="112"/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</row>
    <row r="694" spans="2:14" s="19" customFormat="1">
      <c r="B694" s="112"/>
      <c r="C694" s="112"/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</row>
    <row r="695" spans="2:14" s="19" customFormat="1">
      <c r="B695" s="112"/>
      <c r="C695" s="112"/>
      <c r="D695" s="112"/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</row>
    <row r="696" spans="2:14" s="19" customFormat="1">
      <c r="B696" s="112"/>
      <c r="C696" s="112"/>
      <c r="D696" s="112"/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</row>
    <row r="697" spans="2:14" s="19" customFormat="1">
      <c r="B697" s="112"/>
      <c r="C697" s="112"/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</row>
    <row r="698" spans="2:14" s="19" customFormat="1">
      <c r="B698" s="112"/>
      <c r="C698" s="112"/>
      <c r="D698" s="112"/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</row>
    <row r="699" spans="2:14" s="19" customFormat="1">
      <c r="B699" s="112"/>
      <c r="C699" s="112"/>
      <c r="D699" s="112"/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</row>
    <row r="700" spans="2:14" s="19" customFormat="1"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</row>
    <row r="701" spans="2:14" s="19" customFormat="1">
      <c r="B701" s="112"/>
      <c r="C701" s="112"/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</row>
    <row r="702" spans="2:14" s="19" customFormat="1">
      <c r="B702" s="112"/>
      <c r="C702" s="112"/>
      <c r="D702" s="112"/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</row>
    <row r="703" spans="2:14" s="19" customFormat="1">
      <c r="B703" s="112"/>
      <c r="C703" s="112"/>
      <c r="D703" s="112"/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</row>
    <row r="704" spans="2:14" s="19" customFormat="1">
      <c r="B704" s="112"/>
      <c r="C704" s="112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</row>
    <row r="705" spans="2:14" s="19" customFormat="1">
      <c r="B705" s="112"/>
      <c r="C705" s="112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</row>
    <row r="706" spans="2:14" s="19" customFormat="1">
      <c r="B706" s="112"/>
      <c r="C706" s="112"/>
      <c r="D706" s="112"/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</row>
    <row r="707" spans="2:14" s="19" customFormat="1">
      <c r="B707" s="112"/>
      <c r="C707" s="112"/>
      <c r="D707" s="112"/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</row>
    <row r="708" spans="2:14" s="19" customFormat="1">
      <c r="B708" s="112"/>
      <c r="C708" s="112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</row>
    <row r="709" spans="2:14" s="19" customFormat="1">
      <c r="B709" s="112"/>
      <c r="C709" s="112"/>
      <c r="D709" s="112"/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</row>
    <row r="710" spans="2:14" s="19" customFormat="1">
      <c r="B710" s="112"/>
      <c r="C710" s="112"/>
      <c r="D710" s="112"/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</row>
    <row r="711" spans="2:14" s="19" customFormat="1">
      <c r="B711" s="112"/>
      <c r="C711" s="112"/>
      <c r="D711" s="112"/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</row>
    <row r="712" spans="2:14" s="19" customFormat="1">
      <c r="B712" s="112"/>
      <c r="C712" s="112"/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</row>
    <row r="713" spans="2:14" s="19" customFormat="1">
      <c r="B713" s="112"/>
      <c r="C713" s="112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</row>
    <row r="714" spans="2:14" s="19" customFormat="1">
      <c r="B714" s="112"/>
      <c r="C714" s="112"/>
      <c r="D714" s="112"/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</row>
    <row r="715" spans="2:14" s="19" customFormat="1">
      <c r="B715" s="112"/>
      <c r="C715" s="112"/>
      <c r="D715" s="112"/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</row>
    <row r="716" spans="2:14" s="19" customFormat="1"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</row>
    <row r="717" spans="2:14" s="19" customFormat="1">
      <c r="B717" s="112"/>
      <c r="C717" s="112"/>
      <c r="D717" s="112"/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</row>
    <row r="718" spans="2:14" s="19" customFormat="1">
      <c r="B718" s="112"/>
      <c r="C718" s="112"/>
      <c r="D718" s="112"/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</row>
    <row r="719" spans="2:14" s="19" customFormat="1"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</row>
    <row r="720" spans="2:14" s="19" customFormat="1">
      <c r="B720" s="112"/>
      <c r="C720" s="112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</row>
    <row r="721" spans="2:14" s="19" customFormat="1">
      <c r="B721" s="112"/>
      <c r="C721" s="112"/>
      <c r="D721" s="112"/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</row>
    <row r="722" spans="2:14" s="19" customFormat="1">
      <c r="B722" s="112"/>
      <c r="C722" s="112"/>
      <c r="D722" s="112"/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</row>
    <row r="723" spans="2:14" s="19" customFormat="1">
      <c r="B723" s="112"/>
      <c r="C723" s="112"/>
      <c r="D723" s="112"/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</row>
    <row r="724" spans="2:14" s="19" customFormat="1">
      <c r="B724" s="112"/>
      <c r="C724" s="112"/>
      <c r="D724" s="112"/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</row>
    <row r="725" spans="2:14" s="19" customFormat="1">
      <c r="B725" s="112"/>
      <c r="C725" s="112"/>
      <c r="D725" s="112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</row>
    <row r="726" spans="2:14" s="19" customFormat="1">
      <c r="B726" s="112"/>
      <c r="C726" s="112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</row>
    <row r="727" spans="2:14" s="19" customFormat="1">
      <c r="B727" s="112"/>
      <c r="C727" s="112"/>
      <c r="D727" s="112"/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</row>
    <row r="728" spans="2:14" s="19" customFormat="1"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</row>
    <row r="729" spans="2:14" s="19" customFormat="1">
      <c r="B729" s="112"/>
      <c r="C729" s="112"/>
      <c r="D729" s="112"/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</row>
    <row r="730" spans="2:14" s="19" customFormat="1">
      <c r="B730" s="112"/>
      <c r="C730" s="112"/>
      <c r="D730" s="112"/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</row>
    <row r="731" spans="2:14" s="19" customFormat="1">
      <c r="B731" s="112"/>
      <c r="C731" s="112"/>
      <c r="D731" s="112"/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</row>
    <row r="732" spans="2:14" s="19" customFormat="1">
      <c r="B732" s="112"/>
      <c r="C732" s="112"/>
      <c r="D732" s="112"/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</row>
    <row r="733" spans="2:14" s="19" customFormat="1">
      <c r="B733" s="112"/>
      <c r="C733" s="112"/>
      <c r="D733" s="112"/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</row>
    <row r="734" spans="2:14" s="19" customFormat="1">
      <c r="B734" s="112"/>
      <c r="C734" s="112"/>
      <c r="D734" s="112"/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</row>
    <row r="735" spans="2:14" s="19" customFormat="1">
      <c r="B735" s="112"/>
      <c r="C735" s="112"/>
      <c r="D735" s="112"/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</row>
    <row r="736" spans="2:14" s="19" customFormat="1">
      <c r="B736" s="112"/>
      <c r="C736" s="112"/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</row>
    <row r="737" spans="2:14" s="19" customFormat="1">
      <c r="B737" s="112"/>
      <c r="C737" s="112"/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</row>
    <row r="738" spans="2:14" s="19" customFormat="1">
      <c r="B738" s="112"/>
      <c r="C738" s="112"/>
      <c r="D738" s="112"/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</row>
    <row r="739" spans="2:14" s="19" customFormat="1">
      <c r="B739" s="112"/>
      <c r="C739" s="112"/>
      <c r="D739" s="112"/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</row>
    <row r="740" spans="2:14" s="19" customFormat="1">
      <c r="B740" s="112"/>
      <c r="C740" s="112"/>
      <c r="D740" s="112"/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</row>
    <row r="741" spans="2:14" s="19" customFormat="1">
      <c r="B741" s="112"/>
      <c r="C741" s="112"/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</row>
    <row r="742" spans="2:14" s="19" customFormat="1">
      <c r="B742" s="112"/>
      <c r="C742" s="112"/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</row>
    <row r="743" spans="2:14" s="19" customFormat="1">
      <c r="B743" s="112"/>
      <c r="C743" s="112"/>
      <c r="D743" s="112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</row>
    <row r="744" spans="2:14" s="19" customFormat="1">
      <c r="B744" s="112"/>
      <c r="C744" s="112"/>
      <c r="D744" s="112"/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</row>
    <row r="745" spans="2:14" s="19" customFormat="1">
      <c r="B745" s="112"/>
      <c r="C745" s="112"/>
      <c r="D745" s="112"/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</row>
    <row r="746" spans="2:14" s="19" customFormat="1">
      <c r="B746" s="112"/>
      <c r="C746" s="112"/>
      <c r="D746" s="112"/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</row>
    <row r="747" spans="2:14" s="19" customFormat="1"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</row>
    <row r="748" spans="2:14" s="19" customFormat="1"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</row>
    <row r="749" spans="2:14" s="19" customFormat="1"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</row>
    <row r="750" spans="2:14" s="19" customFormat="1"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</row>
    <row r="751" spans="2:14" s="19" customFormat="1"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</row>
    <row r="752" spans="2:14" s="19" customFormat="1"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</row>
    <row r="753" spans="2:14" s="19" customFormat="1"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</row>
    <row r="754" spans="2:14" s="19" customFormat="1"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</row>
    <row r="755" spans="2:14" s="19" customFormat="1"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</row>
    <row r="756" spans="2:14" s="19" customFormat="1"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</row>
    <row r="757" spans="2:14" s="19" customFormat="1"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</row>
    <row r="758" spans="2:14" s="19" customFormat="1"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</row>
    <row r="759" spans="2:14" s="19" customFormat="1"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</row>
    <row r="760" spans="2:14" s="19" customFormat="1"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</row>
    <row r="761" spans="2:14" s="19" customFormat="1"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</row>
    <row r="762" spans="2:14" s="19" customFormat="1"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</row>
    <row r="763" spans="2:14" s="19" customFormat="1"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</row>
    <row r="764" spans="2:14" s="19" customFormat="1"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</row>
    <row r="765" spans="2:14" s="19" customFormat="1"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</row>
    <row r="766" spans="2:14" s="19" customFormat="1"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</row>
    <row r="767" spans="2:14" s="19" customFormat="1"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</row>
    <row r="768" spans="2:14" s="19" customFormat="1"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</row>
    <row r="769" spans="2:14" s="19" customFormat="1"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</row>
    <row r="770" spans="2:14" s="19" customFormat="1"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</row>
    <row r="771" spans="2:14" s="19" customFormat="1"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</row>
    <row r="772" spans="2:14" s="19" customFormat="1"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</row>
    <row r="773" spans="2:14" s="19" customFormat="1"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</row>
    <row r="774" spans="2:14" s="19" customFormat="1"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</row>
    <row r="775" spans="2:14" s="19" customFormat="1"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</row>
    <row r="776" spans="2:14" s="19" customFormat="1"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</row>
    <row r="777" spans="2:14" s="19" customFormat="1"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</row>
    <row r="778" spans="2:14" s="19" customFormat="1"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</row>
    <row r="779" spans="2:14" s="19" customFormat="1"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</row>
    <row r="780" spans="2:14" s="19" customFormat="1"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</row>
    <row r="781" spans="2:14" s="19" customFormat="1"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</row>
    <row r="782" spans="2:14" s="19" customFormat="1"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</row>
    <row r="783" spans="2:14" s="19" customFormat="1"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</row>
    <row r="784" spans="2:14" s="19" customFormat="1"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</row>
    <row r="785" spans="2:14" s="19" customFormat="1"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</row>
    <row r="786" spans="2:14" s="19" customFormat="1"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</row>
    <row r="787" spans="2:14" s="19" customFormat="1"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</row>
    <row r="788" spans="2:14" s="19" customFormat="1"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</row>
    <row r="789" spans="2:14" s="19" customFormat="1"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</row>
    <row r="790" spans="2:14" s="19" customFormat="1"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</row>
    <row r="791" spans="2:14" s="19" customFormat="1"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</row>
    <row r="792" spans="2:14" s="19" customFormat="1"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</row>
    <row r="793" spans="2:14" s="19" customFormat="1"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</row>
    <row r="794" spans="2:14" s="19" customFormat="1"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</row>
    <row r="795" spans="2:14" s="19" customFormat="1"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</row>
    <row r="796" spans="2:14" s="19" customFormat="1"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</row>
    <row r="797" spans="2:14" s="19" customFormat="1"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</row>
    <row r="798" spans="2:14" s="19" customFormat="1"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</row>
    <row r="799" spans="2:14" s="19" customFormat="1"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</row>
    <row r="800" spans="2:14" s="19" customFormat="1"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</row>
    <row r="801" spans="2:14" s="19" customFormat="1"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</row>
    <row r="802" spans="2:14" s="19" customFormat="1"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</row>
    <row r="803" spans="2:14" s="19" customFormat="1"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</row>
    <row r="804" spans="2:14" s="19" customFormat="1"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</row>
    <row r="805" spans="2:14" s="19" customFormat="1"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</row>
    <row r="806" spans="2:14" s="19" customFormat="1"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</row>
    <row r="807" spans="2:14" s="19" customFormat="1"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</row>
    <row r="808" spans="2:14" s="19" customFormat="1"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</row>
    <row r="809" spans="2:14" s="19" customFormat="1"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</row>
    <row r="810" spans="2:14" s="19" customFormat="1"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</row>
    <row r="811" spans="2:14" s="19" customFormat="1"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</row>
    <row r="812" spans="2:14" s="19" customFormat="1"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</row>
    <row r="813" spans="2:14" s="19" customFormat="1"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</row>
    <row r="814" spans="2:14" s="19" customFormat="1"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</row>
    <row r="815" spans="2:14" s="19" customFormat="1"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</row>
    <row r="816" spans="2:14" s="19" customFormat="1"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</row>
    <row r="817" spans="2:14" s="19" customFormat="1"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</row>
    <row r="818" spans="2:14" s="19" customFormat="1"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</row>
    <row r="819" spans="2:14" s="19" customFormat="1"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</row>
    <row r="820" spans="2:14" s="19" customFormat="1"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</row>
    <row r="821" spans="2:14" s="19" customFormat="1"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</row>
    <row r="822" spans="2:14" s="19" customFormat="1"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</row>
    <row r="823" spans="2:14" s="19" customFormat="1"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</row>
    <row r="824" spans="2:14" s="19" customFormat="1"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</row>
    <row r="825" spans="2:14" s="19" customFormat="1"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</row>
    <row r="826" spans="2:14" s="19" customFormat="1"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</row>
    <row r="827" spans="2:14" s="19" customFormat="1"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</row>
    <row r="828" spans="2:14" s="19" customFormat="1"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</row>
    <row r="829" spans="2:14" s="19" customFormat="1"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</row>
    <row r="830" spans="2:14" s="19" customFormat="1"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</row>
    <row r="831" spans="2:14" s="19" customFormat="1"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</row>
    <row r="832" spans="2:14" s="19" customFormat="1"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</row>
    <row r="833" spans="2:14" s="19" customFormat="1"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</row>
    <row r="834" spans="2:14" s="19" customFormat="1"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</row>
    <row r="835" spans="2:14" s="19" customFormat="1"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</row>
    <row r="836" spans="2:14" s="19" customFormat="1"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</row>
    <row r="837" spans="2:14" s="19" customFormat="1"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</row>
    <row r="838" spans="2:14" s="19" customFormat="1"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</row>
    <row r="839" spans="2:14" s="19" customFormat="1"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</row>
    <row r="840" spans="2:14" s="19" customFormat="1"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</row>
    <row r="841" spans="2:14" s="19" customFormat="1"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</row>
    <row r="842" spans="2:14" s="19" customFormat="1"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</row>
    <row r="843" spans="2:14" s="19" customFormat="1"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</row>
    <row r="844" spans="2:14" s="19" customFormat="1"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</row>
    <row r="845" spans="2:14" s="19" customFormat="1"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</row>
    <row r="846" spans="2:14" s="19" customFormat="1"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</row>
    <row r="847" spans="2:14" s="19" customFormat="1"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</row>
    <row r="848" spans="2:14" s="19" customFormat="1"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</row>
    <row r="849" spans="2:14" s="19" customFormat="1"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</row>
    <row r="850" spans="2:14" s="19" customFormat="1"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</row>
    <row r="851" spans="2:14" s="19" customFormat="1"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</row>
    <row r="852" spans="2:14" s="19" customFormat="1"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</row>
    <row r="853" spans="2:14" s="19" customFormat="1"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</row>
    <row r="854" spans="2:14" s="19" customFormat="1"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</row>
    <row r="855" spans="2:14" s="19" customFormat="1"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</row>
    <row r="856" spans="2:14" s="19" customFormat="1"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</row>
    <row r="857" spans="2:14" s="19" customFormat="1"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</row>
    <row r="858" spans="2:14" s="19" customFormat="1"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</row>
    <row r="859" spans="2:14" s="19" customFormat="1"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</row>
    <row r="860" spans="2:14" s="19" customFormat="1"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</row>
    <row r="861" spans="2:14" s="19" customFormat="1"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</row>
    <row r="862" spans="2:14" s="19" customFormat="1"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</row>
    <row r="863" spans="2:14" s="19" customFormat="1"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</row>
    <row r="864" spans="2:14" s="19" customFormat="1"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</row>
    <row r="865" spans="2:14" s="19" customFormat="1"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</row>
    <row r="866" spans="2:14" s="19" customFormat="1"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</row>
    <row r="867" spans="2:14" s="19" customFormat="1"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</row>
    <row r="868" spans="2:14" s="19" customFormat="1"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</row>
    <row r="869" spans="2:14" s="19" customFormat="1"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</row>
    <row r="870" spans="2:14" s="19" customFormat="1"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</row>
    <row r="871" spans="2:14" s="19" customFormat="1"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</row>
    <row r="872" spans="2:14" s="19" customFormat="1"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</row>
    <row r="873" spans="2:14" s="19" customFormat="1"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</row>
    <row r="874" spans="2:14" s="19" customFormat="1"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</row>
    <row r="875" spans="2:14" s="19" customFormat="1"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</row>
    <row r="876" spans="2:14" s="19" customFormat="1"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</row>
    <row r="877" spans="2:14" s="19" customFormat="1"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</row>
    <row r="878" spans="2:14" s="19" customFormat="1"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</row>
    <row r="879" spans="2:14" s="19" customFormat="1"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</row>
    <row r="880" spans="2:14" s="19" customFormat="1"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</row>
    <row r="881" spans="2:14" s="19" customFormat="1"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</row>
    <row r="882" spans="2:14" s="19" customFormat="1"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</row>
    <row r="883" spans="2:14" s="19" customFormat="1"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</row>
    <row r="884" spans="2:14" s="19" customFormat="1"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</row>
    <row r="885" spans="2:14" s="19" customFormat="1"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</row>
    <row r="886" spans="2:14" s="19" customFormat="1"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</row>
    <row r="887" spans="2:14" s="19" customFormat="1"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</row>
    <row r="888" spans="2:14" s="19" customFormat="1"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</row>
    <row r="889" spans="2:14" s="19" customFormat="1"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</row>
    <row r="890" spans="2:14" s="19" customFormat="1"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</row>
    <row r="891" spans="2:14" s="19" customFormat="1"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</row>
    <row r="892" spans="2:14" s="19" customFormat="1"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</row>
    <row r="893" spans="2:14" s="19" customFormat="1"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</row>
    <row r="894" spans="2:14" s="19" customFormat="1"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</row>
    <row r="895" spans="2:14" s="19" customFormat="1"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</row>
    <row r="896" spans="2:14" s="19" customFormat="1"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</row>
    <row r="897" spans="2:14" s="19" customFormat="1"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</row>
    <row r="898" spans="2:14" s="19" customFormat="1"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</row>
    <row r="899" spans="2:14" s="19" customFormat="1"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</row>
    <row r="900" spans="2:14" s="19" customFormat="1"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</row>
    <row r="901" spans="2:14" s="19" customFormat="1"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</row>
    <row r="902" spans="2:14" s="19" customFormat="1"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</row>
    <row r="903" spans="2:14" s="19" customFormat="1"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</row>
    <row r="904" spans="2:14" s="19" customFormat="1"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</row>
    <row r="905" spans="2:14" s="19" customFormat="1"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</row>
    <row r="906" spans="2:14" s="19" customFormat="1"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</row>
    <row r="907" spans="2:14" s="19" customFormat="1"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</row>
    <row r="908" spans="2:14" s="19" customFormat="1"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</row>
    <row r="909" spans="2:14" s="19" customFormat="1"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</row>
    <row r="910" spans="2:14" s="19" customFormat="1"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</row>
    <row r="911" spans="2:14" s="19" customFormat="1"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</row>
    <row r="912" spans="2:14" s="19" customFormat="1"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</row>
    <row r="913" spans="2:14" s="19" customFormat="1"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</row>
    <row r="914" spans="2:14" s="19" customFormat="1"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</row>
    <row r="915" spans="2:14" s="19" customFormat="1"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</row>
    <row r="916" spans="2:14" s="19" customFormat="1"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</row>
    <row r="917" spans="2:14" s="19" customFormat="1"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</row>
    <row r="918" spans="2:14" s="19" customFormat="1"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</row>
    <row r="919" spans="2:14" s="19" customFormat="1"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</row>
    <row r="920" spans="2:14" s="19" customFormat="1"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</row>
    <row r="921" spans="2:14" s="19" customFormat="1"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</row>
    <row r="922" spans="2:14" s="19" customFormat="1"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</row>
    <row r="923" spans="2:14" s="19" customFormat="1"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</row>
    <row r="924" spans="2:14" s="19" customFormat="1"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</row>
    <row r="925" spans="2:14" s="19" customFormat="1"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</row>
    <row r="926" spans="2:14" s="19" customFormat="1"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</row>
    <row r="927" spans="2:14" s="19" customFormat="1"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</row>
    <row r="928" spans="2:14" s="19" customFormat="1"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</row>
    <row r="929" spans="2:14" s="19" customFormat="1"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</row>
    <row r="930" spans="2:14" s="19" customFormat="1"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</row>
    <row r="931" spans="2:14" s="19" customFormat="1"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</row>
    <row r="932" spans="2:14" s="19" customFormat="1"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</row>
    <row r="933" spans="2:14" s="19" customFormat="1"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</row>
    <row r="934" spans="2:14" s="19" customFormat="1"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</row>
    <row r="935" spans="2:14" s="19" customFormat="1"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</row>
    <row r="936" spans="2:14" s="19" customFormat="1"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</row>
    <row r="937" spans="2:14" s="19" customFormat="1"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</row>
    <row r="938" spans="2:14" s="19" customFormat="1"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</row>
    <row r="939" spans="2:14" s="19" customFormat="1"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</row>
    <row r="940" spans="2:14" s="19" customFormat="1"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</row>
    <row r="941" spans="2:14" s="19" customFormat="1"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</row>
    <row r="942" spans="2:14" s="19" customFormat="1"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</row>
    <row r="943" spans="2:14" s="19" customFormat="1"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</row>
    <row r="944" spans="2:14" s="19" customFormat="1"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</row>
    <row r="945" spans="2:14" s="19" customFormat="1"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</row>
    <row r="946" spans="2:14" s="19" customFormat="1"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</row>
    <row r="947" spans="2:14" s="19" customFormat="1"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</row>
    <row r="948" spans="2:14" s="19" customFormat="1"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</row>
    <row r="949" spans="2:14" s="19" customFormat="1"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</row>
    <row r="950" spans="2:14" s="19" customFormat="1"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</row>
    <row r="951" spans="2:14" s="19" customFormat="1"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</row>
    <row r="952" spans="2:14" s="19" customFormat="1"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</row>
    <row r="953" spans="2:14" s="19" customFormat="1"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</row>
    <row r="954" spans="2:14" s="19" customFormat="1"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</row>
    <row r="955" spans="2:14" s="19" customFormat="1"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</row>
    <row r="956" spans="2:14" s="19" customFormat="1"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</row>
    <row r="957" spans="2:14" s="19" customFormat="1"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</row>
    <row r="958" spans="2:14" s="19" customFormat="1"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</row>
    <row r="959" spans="2:14" s="19" customFormat="1"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</row>
    <row r="960" spans="2:14" s="19" customFormat="1"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</row>
    <row r="961" spans="2:14" s="19" customFormat="1"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</row>
    <row r="962" spans="2:14" s="19" customFormat="1"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</row>
    <row r="963" spans="2:14" s="19" customFormat="1"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</row>
    <row r="964" spans="2:14" s="19" customFormat="1"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</row>
    <row r="965" spans="2:14" s="19" customFormat="1"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</row>
    <row r="966" spans="2:14" s="19" customFormat="1"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</row>
    <row r="967" spans="2:14" s="19" customFormat="1"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</row>
    <row r="968" spans="2:14" s="19" customFormat="1"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</row>
    <row r="969" spans="2:14" s="19" customFormat="1"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</row>
    <row r="970" spans="2:14" s="19" customFormat="1"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</row>
    <row r="971" spans="2:14" s="19" customFormat="1"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</row>
    <row r="972" spans="2:14" s="19" customFormat="1"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</row>
    <row r="973" spans="2:14" s="19" customFormat="1"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</row>
    <row r="974" spans="2:14" s="19" customFormat="1"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</row>
    <row r="975" spans="2:14" s="19" customFormat="1"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</row>
    <row r="976" spans="2:14" s="19" customFormat="1"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</row>
    <row r="977" spans="2:14" s="19" customFormat="1"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</row>
    <row r="978" spans="2:14" s="19" customFormat="1"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</row>
    <row r="979" spans="2:14" s="19" customFormat="1"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</row>
    <row r="980" spans="2:14" s="19" customFormat="1"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</row>
    <row r="981" spans="2:14" s="19" customFormat="1"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</row>
    <row r="982" spans="2:14" s="19" customFormat="1"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</row>
    <row r="983" spans="2:14" s="19" customFormat="1"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</row>
    <row r="984" spans="2:14" s="19" customFormat="1"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</row>
    <row r="985" spans="2:14" s="19" customFormat="1"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</row>
    <row r="986" spans="2:14" s="19" customFormat="1"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</row>
    <row r="987" spans="2:14" s="19" customFormat="1"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</row>
    <row r="988" spans="2:14" s="19" customFormat="1"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</row>
    <row r="989" spans="2:14" s="19" customFormat="1"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</row>
    <row r="990" spans="2:14" s="19" customFormat="1"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</row>
    <row r="991" spans="2:14" s="19" customFormat="1"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</row>
    <row r="992" spans="2:14" s="19" customFormat="1"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</row>
    <row r="993" spans="2:14" s="19" customFormat="1"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</row>
    <row r="994" spans="2:14" s="19" customFormat="1"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</row>
    <row r="995" spans="2:14" s="19" customFormat="1"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</row>
    <row r="996" spans="2:14" s="19" customFormat="1"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</row>
    <row r="997" spans="2:14" s="19" customFormat="1"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</row>
    <row r="998" spans="2:14" s="19" customFormat="1"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</row>
    <row r="999" spans="2:14" s="19" customFormat="1"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</row>
    <row r="1000" spans="2:14" s="19" customFormat="1"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</row>
    <row r="1001" spans="2:14" s="19" customFormat="1">
      <c r="B1001" s="112"/>
      <c r="C1001" s="112"/>
      <c r="D1001" s="112"/>
      <c r="E1001" s="112"/>
      <c r="F1001" s="112"/>
      <c r="G1001" s="112"/>
      <c r="H1001" s="112"/>
      <c r="I1001" s="112"/>
      <c r="J1001" s="112"/>
      <c r="K1001" s="112"/>
      <c r="L1001" s="112"/>
      <c r="M1001" s="112"/>
      <c r="N1001" s="112"/>
    </row>
    <row r="1002" spans="2:14" s="19" customFormat="1">
      <c r="B1002" s="112"/>
      <c r="C1002" s="112"/>
      <c r="D1002" s="112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</row>
    <row r="1003" spans="2:14" s="19" customFormat="1">
      <c r="B1003" s="112"/>
      <c r="C1003" s="112"/>
      <c r="D1003" s="112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</row>
    <row r="1004" spans="2:14" s="19" customFormat="1">
      <c r="B1004" s="112"/>
      <c r="C1004" s="112"/>
      <c r="D1004" s="112"/>
      <c r="E1004" s="112"/>
      <c r="F1004" s="112"/>
      <c r="G1004" s="112"/>
      <c r="H1004" s="112"/>
      <c r="I1004" s="112"/>
      <c r="J1004" s="112"/>
      <c r="K1004" s="112"/>
      <c r="L1004" s="112"/>
      <c r="M1004" s="112"/>
      <c r="N1004" s="112"/>
    </row>
    <row r="1005" spans="2:14" s="19" customFormat="1">
      <c r="B1005" s="112"/>
      <c r="C1005" s="112"/>
      <c r="D1005" s="112"/>
      <c r="E1005" s="112"/>
      <c r="F1005" s="112"/>
      <c r="G1005" s="112"/>
      <c r="H1005" s="112"/>
      <c r="I1005" s="112"/>
      <c r="J1005" s="112"/>
      <c r="K1005" s="112"/>
      <c r="L1005" s="112"/>
      <c r="M1005" s="112"/>
      <c r="N1005" s="112"/>
    </row>
    <row r="1006" spans="2:14" s="19" customFormat="1">
      <c r="B1006" s="112"/>
      <c r="C1006" s="112"/>
      <c r="D1006" s="112"/>
      <c r="E1006" s="112"/>
      <c r="F1006" s="112"/>
      <c r="G1006" s="112"/>
      <c r="H1006" s="112"/>
      <c r="I1006" s="112"/>
      <c r="J1006" s="112"/>
      <c r="K1006" s="112"/>
      <c r="L1006" s="112"/>
      <c r="M1006" s="112"/>
      <c r="N1006" s="112"/>
    </row>
    <row r="1007" spans="2:14" s="19" customFormat="1">
      <c r="B1007" s="112"/>
      <c r="C1007" s="112"/>
      <c r="D1007" s="112"/>
      <c r="E1007" s="112"/>
      <c r="F1007" s="112"/>
      <c r="G1007" s="112"/>
      <c r="H1007" s="112"/>
      <c r="I1007" s="112"/>
      <c r="J1007" s="112"/>
      <c r="K1007" s="112"/>
      <c r="L1007" s="112"/>
      <c r="M1007" s="112"/>
      <c r="N1007" s="112"/>
    </row>
    <row r="1008" spans="2:14" s="19" customFormat="1">
      <c r="B1008" s="112"/>
      <c r="C1008" s="112"/>
      <c r="D1008" s="112"/>
      <c r="E1008" s="112"/>
      <c r="F1008" s="112"/>
      <c r="G1008" s="112"/>
      <c r="H1008" s="112"/>
      <c r="I1008" s="112"/>
      <c r="J1008" s="112"/>
      <c r="K1008" s="112"/>
      <c r="L1008" s="112"/>
      <c r="M1008" s="112"/>
      <c r="N1008" s="112"/>
    </row>
    <row r="1009" spans="2:14" s="19" customFormat="1">
      <c r="B1009" s="112"/>
      <c r="C1009" s="112"/>
      <c r="D1009" s="112"/>
      <c r="E1009" s="112"/>
      <c r="F1009" s="112"/>
      <c r="G1009" s="112"/>
      <c r="H1009" s="112"/>
      <c r="I1009" s="112"/>
      <c r="J1009" s="112"/>
      <c r="K1009" s="112"/>
      <c r="L1009" s="112"/>
      <c r="M1009" s="112"/>
      <c r="N1009" s="112"/>
    </row>
    <row r="1010" spans="2:14" s="19" customFormat="1">
      <c r="B1010" s="112"/>
      <c r="C1010" s="112"/>
      <c r="D1010" s="112"/>
      <c r="E1010" s="112"/>
      <c r="F1010" s="112"/>
      <c r="G1010" s="112"/>
      <c r="H1010" s="112"/>
      <c r="I1010" s="112"/>
      <c r="J1010" s="112"/>
      <c r="K1010" s="112"/>
      <c r="L1010" s="112"/>
      <c r="M1010" s="112"/>
      <c r="N1010" s="112"/>
    </row>
    <row r="1011" spans="2:14" s="19" customFormat="1">
      <c r="B1011" s="112"/>
      <c r="C1011" s="112"/>
      <c r="D1011" s="112"/>
      <c r="E1011" s="112"/>
      <c r="F1011" s="112"/>
      <c r="G1011" s="112"/>
      <c r="H1011" s="112"/>
      <c r="I1011" s="112"/>
      <c r="J1011" s="112"/>
      <c r="K1011" s="112"/>
      <c r="L1011" s="112"/>
      <c r="M1011" s="112"/>
      <c r="N1011" s="112"/>
    </row>
    <row r="1012" spans="2:14" s="19" customFormat="1">
      <c r="B1012" s="112"/>
      <c r="C1012" s="112"/>
      <c r="D1012" s="112"/>
      <c r="E1012" s="112"/>
      <c r="F1012" s="112"/>
      <c r="G1012" s="112"/>
      <c r="H1012" s="112"/>
      <c r="I1012" s="112"/>
      <c r="J1012" s="112"/>
      <c r="K1012" s="112"/>
      <c r="L1012" s="112"/>
      <c r="M1012" s="112"/>
      <c r="N1012" s="112"/>
    </row>
    <row r="1013" spans="2:14" s="19" customFormat="1">
      <c r="B1013" s="112"/>
      <c r="C1013" s="112"/>
      <c r="D1013" s="112"/>
      <c r="E1013" s="112"/>
      <c r="F1013" s="112"/>
      <c r="G1013" s="112"/>
      <c r="H1013" s="112"/>
      <c r="I1013" s="112"/>
      <c r="J1013" s="112"/>
      <c r="K1013" s="112"/>
      <c r="L1013" s="112"/>
      <c r="M1013" s="112"/>
      <c r="N1013" s="112"/>
    </row>
    <row r="1014" spans="2:14" s="19" customFormat="1">
      <c r="B1014" s="112"/>
      <c r="C1014" s="112"/>
      <c r="D1014" s="112"/>
      <c r="E1014" s="112"/>
      <c r="F1014" s="112"/>
      <c r="G1014" s="112"/>
      <c r="H1014" s="112"/>
      <c r="I1014" s="112"/>
      <c r="J1014" s="112"/>
      <c r="K1014" s="112"/>
      <c r="L1014" s="112"/>
      <c r="M1014" s="112"/>
      <c r="N1014" s="112"/>
    </row>
    <row r="1015" spans="2:14" s="19" customFormat="1">
      <c r="B1015" s="112"/>
      <c r="C1015" s="112"/>
      <c r="D1015" s="112"/>
      <c r="E1015" s="112"/>
      <c r="F1015" s="112"/>
      <c r="G1015" s="112"/>
      <c r="H1015" s="112"/>
      <c r="I1015" s="112"/>
      <c r="J1015" s="112"/>
      <c r="K1015" s="112"/>
      <c r="L1015" s="112"/>
      <c r="M1015" s="112"/>
      <c r="N1015" s="112"/>
    </row>
    <row r="1016" spans="2:14" s="19" customFormat="1">
      <c r="B1016" s="112"/>
      <c r="C1016" s="112"/>
      <c r="D1016" s="112"/>
      <c r="E1016" s="112"/>
      <c r="F1016" s="112"/>
      <c r="G1016" s="112"/>
      <c r="H1016" s="112"/>
      <c r="I1016" s="112"/>
      <c r="J1016" s="112"/>
      <c r="K1016" s="112"/>
      <c r="L1016" s="112"/>
      <c r="M1016" s="112"/>
      <c r="N1016" s="112"/>
    </row>
    <row r="1017" spans="2:14" s="19" customFormat="1">
      <c r="B1017" s="112"/>
      <c r="C1017" s="112"/>
      <c r="D1017" s="112"/>
      <c r="E1017" s="112"/>
      <c r="F1017" s="112"/>
      <c r="G1017" s="112"/>
      <c r="H1017" s="112"/>
      <c r="I1017" s="112"/>
      <c r="J1017" s="112"/>
      <c r="K1017" s="112"/>
      <c r="L1017" s="112"/>
      <c r="M1017" s="112"/>
      <c r="N1017" s="112"/>
    </row>
    <row r="1018" spans="2:14" s="19" customFormat="1">
      <c r="B1018" s="112"/>
      <c r="C1018" s="112"/>
      <c r="D1018" s="112"/>
      <c r="E1018" s="112"/>
      <c r="F1018" s="112"/>
      <c r="G1018" s="112"/>
      <c r="H1018" s="112"/>
      <c r="I1018" s="112"/>
      <c r="J1018" s="112"/>
      <c r="K1018" s="112"/>
      <c r="L1018" s="112"/>
      <c r="M1018" s="112"/>
      <c r="N1018" s="112"/>
    </row>
    <row r="1019" spans="2:14" s="19" customFormat="1">
      <c r="B1019" s="112"/>
      <c r="C1019" s="112"/>
      <c r="D1019" s="112"/>
      <c r="E1019" s="112"/>
      <c r="F1019" s="112"/>
      <c r="G1019" s="112"/>
      <c r="H1019" s="112"/>
      <c r="I1019" s="112"/>
      <c r="J1019" s="112"/>
      <c r="K1019" s="112"/>
      <c r="L1019" s="112"/>
      <c r="M1019" s="112"/>
      <c r="N1019" s="112"/>
    </row>
    <row r="1020" spans="2:14" s="19" customFormat="1">
      <c r="B1020" s="112"/>
      <c r="C1020" s="112"/>
      <c r="D1020" s="112"/>
      <c r="E1020" s="112"/>
      <c r="F1020" s="112"/>
      <c r="G1020" s="112"/>
      <c r="H1020" s="112"/>
      <c r="I1020" s="112"/>
      <c r="J1020" s="112"/>
      <c r="K1020" s="112"/>
      <c r="L1020" s="112"/>
      <c r="M1020" s="112"/>
      <c r="N1020" s="112"/>
    </row>
    <row r="1021" spans="2:14" s="19" customFormat="1">
      <c r="B1021" s="112"/>
      <c r="C1021" s="112"/>
      <c r="D1021" s="112"/>
      <c r="E1021" s="112"/>
      <c r="F1021" s="112"/>
      <c r="G1021" s="112"/>
      <c r="H1021" s="112"/>
      <c r="I1021" s="112"/>
      <c r="J1021" s="112"/>
      <c r="K1021" s="112"/>
      <c r="L1021" s="112"/>
      <c r="M1021" s="112"/>
      <c r="N1021" s="112"/>
    </row>
    <row r="1022" spans="2:14" s="19" customFormat="1">
      <c r="B1022" s="112"/>
      <c r="C1022" s="112"/>
      <c r="D1022" s="112"/>
      <c r="E1022" s="112"/>
      <c r="F1022" s="112"/>
      <c r="G1022" s="112"/>
      <c r="H1022" s="112"/>
      <c r="I1022" s="112"/>
      <c r="J1022" s="112"/>
      <c r="K1022" s="112"/>
      <c r="L1022" s="112"/>
      <c r="M1022" s="112"/>
      <c r="N1022" s="112"/>
    </row>
    <row r="1023" spans="2:14" s="19" customFormat="1">
      <c r="B1023" s="112"/>
      <c r="C1023" s="112"/>
      <c r="D1023" s="112"/>
      <c r="E1023" s="112"/>
      <c r="F1023" s="112"/>
      <c r="G1023" s="112"/>
      <c r="H1023" s="112"/>
      <c r="I1023" s="112"/>
      <c r="J1023" s="112"/>
      <c r="K1023" s="112"/>
      <c r="L1023" s="112"/>
      <c r="M1023" s="112"/>
      <c r="N1023" s="112"/>
    </row>
    <row r="1024" spans="2:14" s="19" customFormat="1">
      <c r="B1024" s="112"/>
      <c r="C1024" s="112"/>
      <c r="D1024" s="112"/>
      <c r="E1024" s="112"/>
      <c r="F1024" s="112"/>
      <c r="G1024" s="112"/>
      <c r="H1024" s="112"/>
      <c r="I1024" s="112"/>
      <c r="J1024" s="112"/>
      <c r="K1024" s="112"/>
      <c r="L1024" s="112"/>
      <c r="M1024" s="112"/>
      <c r="N1024" s="112"/>
    </row>
    <row r="1025" spans="2:14" s="19" customFormat="1">
      <c r="B1025" s="112"/>
      <c r="C1025" s="112"/>
      <c r="D1025" s="112"/>
      <c r="E1025" s="112"/>
      <c r="F1025" s="112"/>
      <c r="G1025" s="112"/>
      <c r="H1025" s="112"/>
      <c r="I1025" s="112"/>
      <c r="J1025" s="112"/>
      <c r="K1025" s="112"/>
      <c r="L1025" s="112"/>
      <c r="M1025" s="112"/>
      <c r="N1025" s="112"/>
    </row>
    <row r="1026" spans="2:14" s="19" customFormat="1">
      <c r="B1026" s="112"/>
      <c r="C1026" s="112"/>
      <c r="D1026" s="112"/>
      <c r="E1026" s="112"/>
      <c r="F1026" s="112"/>
      <c r="G1026" s="112"/>
      <c r="H1026" s="112"/>
      <c r="I1026" s="112"/>
      <c r="J1026" s="112"/>
      <c r="K1026" s="112"/>
      <c r="L1026" s="112"/>
      <c r="M1026" s="112"/>
      <c r="N1026" s="112"/>
    </row>
    <row r="1027" spans="2:14" s="19" customFormat="1">
      <c r="B1027" s="112"/>
      <c r="C1027" s="112"/>
      <c r="D1027" s="112"/>
      <c r="E1027" s="112"/>
      <c r="F1027" s="112"/>
      <c r="G1027" s="112"/>
      <c r="H1027" s="112"/>
      <c r="I1027" s="112"/>
      <c r="J1027" s="112"/>
      <c r="K1027" s="112"/>
      <c r="L1027" s="112"/>
      <c r="M1027" s="112"/>
      <c r="N1027" s="112"/>
    </row>
    <row r="1028" spans="2:14" s="19" customFormat="1">
      <c r="B1028" s="112"/>
      <c r="C1028" s="112"/>
      <c r="D1028" s="112"/>
      <c r="E1028" s="112"/>
      <c r="F1028" s="112"/>
      <c r="G1028" s="112"/>
      <c r="H1028" s="112"/>
      <c r="I1028" s="112"/>
      <c r="J1028" s="112"/>
      <c r="K1028" s="112"/>
      <c r="L1028" s="112"/>
      <c r="M1028" s="112"/>
      <c r="N1028" s="112"/>
    </row>
    <row r="1029" spans="2:14" s="19" customFormat="1">
      <c r="B1029" s="112"/>
      <c r="C1029" s="112"/>
      <c r="D1029" s="112"/>
      <c r="E1029" s="112"/>
      <c r="F1029" s="112"/>
      <c r="G1029" s="112"/>
      <c r="H1029" s="112"/>
      <c r="I1029" s="112"/>
      <c r="J1029" s="112"/>
      <c r="K1029" s="112"/>
      <c r="L1029" s="112"/>
      <c r="M1029" s="112"/>
      <c r="N1029" s="112"/>
    </row>
    <row r="1030" spans="2:14" s="19" customFormat="1">
      <c r="B1030" s="112"/>
      <c r="C1030" s="112"/>
      <c r="D1030" s="112"/>
      <c r="E1030" s="112"/>
      <c r="F1030" s="112"/>
      <c r="G1030" s="112"/>
      <c r="H1030" s="112"/>
      <c r="I1030" s="112"/>
      <c r="J1030" s="112"/>
      <c r="K1030" s="112"/>
      <c r="L1030" s="112"/>
      <c r="M1030" s="112"/>
      <c r="N1030" s="112"/>
    </row>
    <row r="1031" spans="2:14" s="19" customFormat="1">
      <c r="B1031" s="112"/>
      <c r="C1031" s="112"/>
      <c r="D1031" s="112"/>
      <c r="E1031" s="112"/>
      <c r="F1031" s="112"/>
      <c r="G1031" s="112"/>
      <c r="H1031" s="112"/>
      <c r="I1031" s="112"/>
      <c r="J1031" s="112"/>
      <c r="K1031" s="112"/>
      <c r="L1031" s="112"/>
      <c r="M1031" s="112"/>
      <c r="N1031" s="112"/>
    </row>
    <row r="1032" spans="2:14" s="19" customFormat="1">
      <c r="B1032" s="112"/>
      <c r="C1032" s="112"/>
      <c r="D1032" s="112"/>
      <c r="E1032" s="112"/>
      <c r="F1032" s="112"/>
      <c r="G1032" s="112"/>
      <c r="H1032" s="112"/>
      <c r="I1032" s="112"/>
      <c r="J1032" s="112"/>
      <c r="K1032" s="112"/>
      <c r="L1032" s="112"/>
      <c r="M1032" s="112"/>
      <c r="N1032" s="112"/>
    </row>
    <row r="1033" spans="2:14" s="19" customFormat="1">
      <c r="B1033" s="112"/>
      <c r="C1033" s="112"/>
      <c r="D1033" s="112"/>
      <c r="E1033" s="112"/>
      <c r="F1033" s="112"/>
      <c r="G1033" s="112"/>
      <c r="H1033" s="112"/>
      <c r="I1033" s="112"/>
      <c r="J1033" s="112"/>
      <c r="K1033" s="112"/>
      <c r="L1033" s="112"/>
      <c r="M1033" s="112"/>
      <c r="N1033" s="112"/>
    </row>
    <row r="1034" spans="2:14" s="19" customFormat="1">
      <c r="B1034" s="112"/>
      <c r="C1034" s="112"/>
      <c r="D1034" s="112"/>
      <c r="E1034" s="112"/>
      <c r="F1034" s="112"/>
      <c r="G1034" s="112"/>
      <c r="H1034" s="112"/>
      <c r="I1034" s="112"/>
      <c r="J1034" s="112"/>
      <c r="K1034" s="112"/>
      <c r="L1034" s="112"/>
      <c r="M1034" s="112"/>
      <c r="N1034" s="112"/>
    </row>
    <row r="1035" spans="2:14" s="19" customFormat="1">
      <c r="B1035" s="112"/>
      <c r="C1035" s="112"/>
      <c r="D1035" s="112"/>
      <c r="E1035" s="112"/>
      <c r="F1035" s="112"/>
      <c r="G1035" s="112"/>
      <c r="H1035" s="112"/>
      <c r="I1035" s="112"/>
      <c r="J1035" s="112"/>
      <c r="K1035" s="112"/>
      <c r="L1035" s="112"/>
      <c r="M1035" s="112"/>
      <c r="N1035" s="112"/>
    </row>
    <row r="1036" spans="2:14" s="19" customFormat="1">
      <c r="B1036" s="112"/>
      <c r="C1036" s="112"/>
      <c r="D1036" s="112"/>
      <c r="E1036" s="112"/>
      <c r="F1036" s="112"/>
      <c r="G1036" s="112"/>
      <c r="H1036" s="112"/>
      <c r="I1036" s="112"/>
      <c r="J1036" s="112"/>
      <c r="K1036" s="112"/>
      <c r="L1036" s="112"/>
      <c r="M1036" s="112"/>
      <c r="N1036" s="112"/>
    </row>
    <row r="1037" spans="2:14" s="19" customFormat="1">
      <c r="B1037" s="112"/>
      <c r="C1037" s="112"/>
      <c r="D1037" s="112"/>
      <c r="E1037" s="112"/>
      <c r="F1037" s="112"/>
      <c r="G1037" s="112"/>
      <c r="H1037" s="112"/>
      <c r="I1037" s="112"/>
      <c r="J1037" s="112"/>
      <c r="K1037" s="112"/>
      <c r="L1037" s="112"/>
      <c r="M1037" s="112"/>
      <c r="N1037" s="112"/>
    </row>
    <row r="1038" spans="2:14" s="19" customFormat="1">
      <c r="B1038" s="112"/>
      <c r="C1038" s="112"/>
      <c r="D1038" s="112"/>
      <c r="E1038" s="112"/>
      <c r="F1038" s="112"/>
      <c r="G1038" s="112"/>
      <c r="H1038" s="112"/>
      <c r="I1038" s="112"/>
      <c r="J1038" s="112"/>
      <c r="K1038" s="112"/>
      <c r="L1038" s="112"/>
      <c r="M1038" s="112"/>
      <c r="N1038" s="112"/>
    </row>
    <row r="1039" spans="2:14" s="19" customFormat="1">
      <c r="B1039" s="112"/>
      <c r="C1039" s="112"/>
      <c r="D1039" s="112"/>
      <c r="E1039" s="112"/>
      <c r="F1039" s="112"/>
      <c r="G1039" s="112"/>
      <c r="H1039" s="112"/>
      <c r="I1039" s="112"/>
      <c r="J1039" s="112"/>
      <c r="K1039" s="112"/>
      <c r="L1039" s="112"/>
      <c r="M1039" s="112"/>
      <c r="N1039" s="112"/>
    </row>
    <row r="1040" spans="2:14" s="19" customFormat="1">
      <c r="B1040" s="112"/>
      <c r="C1040" s="112"/>
      <c r="D1040" s="112"/>
      <c r="E1040" s="112"/>
      <c r="F1040" s="112"/>
      <c r="G1040" s="112"/>
      <c r="H1040" s="112"/>
      <c r="I1040" s="112"/>
      <c r="J1040" s="112"/>
      <c r="K1040" s="112"/>
      <c r="L1040" s="112"/>
      <c r="M1040" s="112"/>
      <c r="N1040" s="112"/>
    </row>
    <row r="1041" spans="2:14" s="19" customFormat="1">
      <c r="B1041" s="112"/>
      <c r="C1041" s="112"/>
      <c r="D1041" s="112"/>
      <c r="E1041" s="112"/>
      <c r="F1041" s="112"/>
      <c r="G1041" s="112"/>
      <c r="H1041" s="112"/>
      <c r="I1041" s="112"/>
      <c r="J1041" s="112"/>
      <c r="K1041" s="112"/>
      <c r="L1041" s="112"/>
      <c r="M1041" s="112"/>
      <c r="N1041" s="112"/>
    </row>
    <row r="1042" spans="2:14" s="19" customFormat="1">
      <c r="B1042" s="112"/>
      <c r="C1042" s="112"/>
      <c r="D1042" s="112"/>
      <c r="E1042" s="112"/>
      <c r="F1042" s="112"/>
      <c r="G1042" s="112"/>
      <c r="H1042" s="112"/>
      <c r="I1042" s="112"/>
      <c r="J1042" s="112"/>
      <c r="K1042" s="112"/>
      <c r="L1042" s="112"/>
      <c r="M1042" s="112"/>
      <c r="N1042" s="112"/>
    </row>
    <row r="1043" spans="2:14" s="19" customFormat="1">
      <c r="B1043" s="112"/>
      <c r="C1043" s="112"/>
      <c r="D1043" s="112"/>
      <c r="E1043" s="112"/>
      <c r="F1043" s="112"/>
      <c r="G1043" s="112"/>
      <c r="H1043" s="112"/>
      <c r="I1043" s="112"/>
      <c r="J1043" s="112"/>
      <c r="K1043" s="112"/>
      <c r="L1043" s="112"/>
      <c r="M1043" s="112"/>
      <c r="N1043" s="112"/>
    </row>
    <row r="1044" spans="2:14" s="19" customFormat="1">
      <c r="B1044" s="112"/>
      <c r="C1044" s="112"/>
      <c r="D1044" s="112"/>
      <c r="E1044" s="112"/>
      <c r="F1044" s="112"/>
      <c r="G1044" s="112"/>
      <c r="H1044" s="112"/>
      <c r="I1044" s="112"/>
      <c r="J1044" s="112"/>
      <c r="K1044" s="112"/>
      <c r="L1044" s="112"/>
      <c r="M1044" s="112"/>
      <c r="N1044" s="112"/>
    </row>
    <row r="1045" spans="2:14" s="19" customFormat="1">
      <c r="B1045" s="112"/>
      <c r="C1045" s="112"/>
      <c r="D1045" s="112"/>
      <c r="E1045" s="112"/>
      <c r="F1045" s="112"/>
      <c r="G1045" s="112"/>
      <c r="H1045" s="112"/>
      <c r="I1045" s="112"/>
      <c r="J1045" s="112"/>
      <c r="K1045" s="112"/>
      <c r="L1045" s="112"/>
      <c r="M1045" s="112"/>
      <c r="N1045" s="112"/>
    </row>
    <row r="1046" spans="2:14" s="19" customFormat="1">
      <c r="B1046" s="112"/>
      <c r="C1046" s="112"/>
      <c r="D1046" s="112"/>
      <c r="E1046" s="112"/>
      <c r="F1046" s="112"/>
      <c r="G1046" s="112"/>
      <c r="H1046" s="112"/>
      <c r="I1046" s="112"/>
      <c r="J1046" s="112"/>
      <c r="K1046" s="112"/>
      <c r="L1046" s="112"/>
      <c r="M1046" s="112"/>
      <c r="N1046" s="112"/>
    </row>
    <row r="1047" spans="2:14" s="19" customFormat="1">
      <c r="B1047" s="112"/>
      <c r="C1047" s="112"/>
      <c r="D1047" s="112"/>
      <c r="E1047" s="112"/>
      <c r="F1047" s="112"/>
      <c r="G1047" s="112"/>
      <c r="H1047" s="112"/>
      <c r="I1047" s="112"/>
      <c r="J1047" s="112"/>
      <c r="K1047" s="112"/>
      <c r="L1047" s="112"/>
      <c r="M1047" s="112"/>
      <c r="N1047" s="112"/>
    </row>
    <row r="1048" spans="2:14" s="19" customFormat="1">
      <c r="B1048" s="112"/>
      <c r="C1048" s="112"/>
      <c r="D1048" s="112"/>
      <c r="E1048" s="112"/>
      <c r="F1048" s="112"/>
      <c r="G1048" s="112"/>
      <c r="H1048" s="112"/>
      <c r="I1048" s="112"/>
      <c r="J1048" s="112"/>
      <c r="K1048" s="112"/>
      <c r="L1048" s="112"/>
      <c r="M1048" s="112"/>
      <c r="N1048" s="112"/>
    </row>
    <row r="1049" spans="2:14" s="19" customFormat="1">
      <c r="B1049" s="112"/>
      <c r="C1049" s="112"/>
      <c r="D1049" s="112"/>
      <c r="E1049" s="112"/>
      <c r="F1049" s="112"/>
      <c r="G1049" s="112"/>
      <c r="H1049" s="112"/>
      <c r="I1049" s="112"/>
      <c r="J1049" s="112"/>
      <c r="K1049" s="112"/>
      <c r="L1049" s="112"/>
      <c r="M1049" s="112"/>
      <c r="N1049" s="112"/>
    </row>
    <row r="1050" spans="2:14" s="19" customFormat="1">
      <c r="B1050" s="112"/>
      <c r="C1050" s="112"/>
      <c r="D1050" s="112"/>
      <c r="E1050" s="112"/>
      <c r="F1050" s="112"/>
      <c r="G1050" s="112"/>
      <c r="H1050" s="112"/>
      <c r="I1050" s="112"/>
      <c r="J1050" s="112"/>
      <c r="K1050" s="112"/>
      <c r="L1050" s="112"/>
      <c r="M1050" s="112"/>
      <c r="N1050" s="112"/>
    </row>
    <row r="1051" spans="2:14" s="19" customFormat="1">
      <c r="B1051" s="112"/>
      <c r="C1051" s="112"/>
      <c r="D1051" s="112"/>
      <c r="E1051" s="112"/>
      <c r="F1051" s="112"/>
      <c r="G1051" s="112"/>
      <c r="H1051" s="112"/>
      <c r="I1051" s="112"/>
      <c r="J1051" s="112"/>
      <c r="K1051" s="112"/>
      <c r="L1051" s="112"/>
      <c r="M1051" s="112"/>
      <c r="N1051" s="112"/>
    </row>
    <row r="1052" spans="2:14" s="19" customFormat="1">
      <c r="B1052" s="112"/>
      <c r="C1052" s="112"/>
      <c r="D1052" s="112"/>
      <c r="E1052" s="112"/>
      <c r="F1052" s="112"/>
      <c r="G1052" s="112"/>
      <c r="H1052" s="112"/>
      <c r="I1052" s="112"/>
      <c r="J1052" s="112"/>
      <c r="K1052" s="112"/>
      <c r="L1052" s="112"/>
      <c r="M1052" s="112"/>
      <c r="N1052" s="112"/>
    </row>
    <row r="1053" spans="2:14" s="19" customFormat="1">
      <c r="B1053" s="112"/>
      <c r="C1053" s="112"/>
      <c r="D1053" s="112"/>
      <c r="E1053" s="112"/>
      <c r="F1053" s="112"/>
      <c r="G1053" s="112"/>
      <c r="H1053" s="112"/>
      <c r="I1053" s="112"/>
      <c r="J1053" s="112"/>
      <c r="K1053" s="112"/>
      <c r="L1053" s="112"/>
      <c r="M1053" s="112"/>
      <c r="N1053" s="112"/>
    </row>
    <row r="1054" spans="2:14" s="19" customFormat="1">
      <c r="B1054" s="112"/>
      <c r="C1054" s="112"/>
      <c r="D1054" s="112"/>
      <c r="E1054" s="112"/>
      <c r="F1054" s="112"/>
      <c r="G1054" s="112"/>
      <c r="H1054" s="112"/>
      <c r="I1054" s="112"/>
      <c r="J1054" s="112"/>
      <c r="K1054" s="112"/>
      <c r="L1054" s="112"/>
      <c r="M1054" s="112"/>
      <c r="N1054" s="112"/>
    </row>
    <row r="1055" spans="2:14" s="19" customFormat="1">
      <c r="B1055" s="112"/>
      <c r="C1055" s="112"/>
      <c r="D1055" s="112"/>
      <c r="E1055" s="112"/>
      <c r="F1055" s="112"/>
      <c r="G1055" s="112"/>
      <c r="H1055" s="112"/>
      <c r="I1055" s="112"/>
      <c r="J1055" s="112"/>
      <c r="K1055" s="112"/>
      <c r="L1055" s="112"/>
      <c r="M1055" s="112"/>
      <c r="N1055" s="112"/>
    </row>
    <row r="1056" spans="2:14" s="19" customFormat="1">
      <c r="B1056" s="112"/>
      <c r="C1056" s="112"/>
      <c r="D1056" s="112"/>
      <c r="E1056" s="112"/>
      <c r="F1056" s="112"/>
      <c r="G1056" s="112"/>
      <c r="H1056" s="112"/>
      <c r="I1056" s="112"/>
      <c r="J1056" s="112"/>
      <c r="K1056" s="112"/>
      <c r="L1056" s="112"/>
      <c r="M1056" s="112"/>
      <c r="N1056" s="112"/>
    </row>
    <row r="1057" spans="2:14" s="19" customFormat="1">
      <c r="B1057" s="112"/>
      <c r="C1057" s="112"/>
      <c r="D1057" s="112"/>
      <c r="E1057" s="112"/>
      <c r="F1057" s="112"/>
      <c r="G1057" s="112"/>
      <c r="H1057" s="112"/>
      <c r="I1057" s="112"/>
      <c r="J1057" s="112"/>
      <c r="K1057" s="112"/>
      <c r="L1057" s="112"/>
      <c r="M1057" s="112"/>
      <c r="N1057" s="112"/>
    </row>
    <row r="1058" spans="2:14" s="19" customFormat="1">
      <c r="B1058" s="112"/>
      <c r="C1058" s="112"/>
      <c r="D1058" s="112"/>
      <c r="E1058" s="112"/>
      <c r="F1058" s="112"/>
      <c r="G1058" s="112"/>
      <c r="H1058" s="112"/>
      <c r="I1058" s="112"/>
      <c r="J1058" s="112"/>
      <c r="K1058" s="112"/>
      <c r="L1058" s="112"/>
      <c r="M1058" s="112"/>
      <c r="N1058" s="112"/>
    </row>
    <row r="1059" spans="2:14" s="19" customFormat="1">
      <c r="B1059" s="112"/>
      <c r="C1059" s="112"/>
      <c r="D1059" s="112"/>
      <c r="E1059" s="112"/>
      <c r="F1059" s="112"/>
      <c r="G1059" s="112"/>
      <c r="H1059" s="112"/>
      <c r="I1059" s="112"/>
      <c r="J1059" s="112"/>
      <c r="K1059" s="112"/>
      <c r="L1059" s="112"/>
      <c r="M1059" s="112"/>
      <c r="N1059" s="112"/>
    </row>
    <row r="1060" spans="2:14" s="19" customFormat="1">
      <c r="B1060" s="112"/>
      <c r="C1060" s="112"/>
      <c r="D1060" s="112"/>
      <c r="E1060" s="112"/>
      <c r="F1060" s="112"/>
      <c r="G1060" s="112"/>
      <c r="H1060" s="112"/>
      <c r="I1060" s="112"/>
      <c r="J1060" s="112"/>
      <c r="K1060" s="112"/>
      <c r="L1060" s="112"/>
      <c r="M1060" s="112"/>
      <c r="N1060" s="112"/>
    </row>
    <row r="1061" spans="2:14" s="19" customFormat="1">
      <c r="B1061" s="112"/>
      <c r="C1061" s="112"/>
      <c r="D1061" s="112"/>
      <c r="E1061" s="112"/>
      <c r="F1061" s="112"/>
      <c r="G1061" s="112"/>
      <c r="H1061" s="112"/>
      <c r="I1061" s="112"/>
      <c r="J1061" s="112"/>
      <c r="K1061" s="112"/>
      <c r="L1061" s="112"/>
      <c r="M1061" s="112"/>
      <c r="N1061" s="112"/>
    </row>
    <row r="1062" spans="2:14" s="19" customFormat="1">
      <c r="B1062" s="112"/>
      <c r="C1062" s="112"/>
      <c r="D1062" s="112"/>
      <c r="E1062" s="112"/>
      <c r="F1062" s="112"/>
      <c r="G1062" s="112"/>
      <c r="H1062" s="112"/>
      <c r="I1062" s="112"/>
      <c r="J1062" s="112"/>
      <c r="K1062" s="112"/>
      <c r="L1062" s="112"/>
      <c r="M1062" s="112"/>
      <c r="N1062" s="112"/>
    </row>
    <row r="1063" spans="2:14" s="19" customFormat="1">
      <c r="B1063" s="112"/>
      <c r="C1063" s="112"/>
      <c r="D1063" s="112"/>
      <c r="E1063" s="112"/>
      <c r="F1063" s="112"/>
      <c r="G1063" s="112"/>
      <c r="H1063" s="112"/>
      <c r="I1063" s="112"/>
      <c r="J1063" s="112"/>
      <c r="K1063" s="112"/>
      <c r="L1063" s="112"/>
      <c r="M1063" s="112"/>
      <c r="N1063" s="112"/>
    </row>
    <row r="1064" spans="2:14" s="19" customFormat="1">
      <c r="B1064" s="112"/>
      <c r="C1064" s="112"/>
      <c r="D1064" s="112"/>
      <c r="E1064" s="112"/>
      <c r="F1064" s="112"/>
      <c r="G1064" s="112"/>
      <c r="H1064" s="112"/>
      <c r="I1064" s="112"/>
      <c r="J1064" s="112"/>
      <c r="K1064" s="112"/>
      <c r="L1064" s="112"/>
      <c r="M1064" s="112"/>
      <c r="N1064" s="112"/>
    </row>
    <row r="1065" spans="2:14" s="19" customFormat="1">
      <c r="B1065" s="112"/>
      <c r="C1065" s="112"/>
      <c r="D1065" s="112"/>
      <c r="E1065" s="112"/>
      <c r="F1065" s="112"/>
      <c r="G1065" s="112"/>
      <c r="H1065" s="112"/>
      <c r="I1065" s="112"/>
      <c r="J1065" s="112"/>
      <c r="K1065" s="112"/>
      <c r="L1065" s="112"/>
      <c r="M1065" s="112"/>
      <c r="N1065" s="112"/>
    </row>
    <row r="1066" spans="2:14" s="19" customFormat="1">
      <c r="B1066" s="112"/>
      <c r="C1066" s="112"/>
      <c r="D1066" s="112"/>
      <c r="E1066" s="112"/>
      <c r="F1066" s="112"/>
      <c r="G1066" s="112"/>
      <c r="H1066" s="112"/>
      <c r="I1066" s="112"/>
      <c r="J1066" s="112"/>
      <c r="K1066" s="112"/>
      <c r="L1066" s="112"/>
      <c r="M1066" s="112"/>
      <c r="N1066" s="112"/>
    </row>
    <row r="1067" spans="2:14" s="19" customFormat="1">
      <c r="B1067" s="112"/>
      <c r="C1067" s="112"/>
      <c r="D1067" s="112"/>
      <c r="E1067" s="112"/>
      <c r="F1067" s="112"/>
      <c r="G1067" s="112"/>
      <c r="H1067" s="112"/>
      <c r="I1067" s="112"/>
      <c r="J1067" s="112"/>
      <c r="K1067" s="112"/>
      <c r="L1067" s="112"/>
      <c r="M1067" s="112"/>
      <c r="N1067" s="112"/>
    </row>
    <row r="1068" spans="2:14" s="19" customFormat="1">
      <c r="B1068" s="112"/>
      <c r="C1068" s="112"/>
      <c r="D1068" s="112"/>
      <c r="E1068" s="112"/>
      <c r="F1068" s="112"/>
      <c r="G1068" s="112"/>
      <c r="H1068" s="112"/>
      <c r="I1068" s="112"/>
      <c r="J1068" s="112"/>
      <c r="K1068" s="112"/>
      <c r="L1068" s="112"/>
      <c r="M1068" s="112"/>
      <c r="N1068" s="112"/>
    </row>
    <row r="1069" spans="2:14" s="19" customFormat="1">
      <c r="B1069" s="112"/>
      <c r="C1069" s="112"/>
      <c r="D1069" s="112"/>
      <c r="E1069" s="112"/>
      <c r="F1069" s="112"/>
      <c r="G1069" s="112"/>
      <c r="H1069" s="112"/>
      <c r="I1069" s="112"/>
      <c r="J1069" s="112"/>
      <c r="K1069" s="112"/>
      <c r="L1069" s="112"/>
      <c r="M1069" s="112"/>
      <c r="N1069" s="112"/>
    </row>
    <row r="1070" spans="2:14" s="19" customFormat="1">
      <c r="B1070" s="112"/>
      <c r="C1070" s="112"/>
      <c r="D1070" s="112"/>
      <c r="E1070" s="112"/>
      <c r="F1070" s="112"/>
      <c r="G1070" s="112"/>
      <c r="H1070" s="112"/>
      <c r="I1070" s="112"/>
      <c r="J1070" s="112"/>
      <c r="K1070" s="112"/>
      <c r="L1070" s="112"/>
      <c r="M1070" s="112"/>
      <c r="N1070" s="112"/>
    </row>
    <row r="1071" spans="2:14" s="19" customFormat="1">
      <c r="B1071" s="112"/>
      <c r="C1071" s="112"/>
      <c r="D1071" s="112"/>
      <c r="E1071" s="112"/>
      <c r="F1071" s="112"/>
      <c r="G1071" s="112"/>
      <c r="H1071" s="112"/>
      <c r="I1071" s="112"/>
      <c r="J1071" s="112"/>
      <c r="K1071" s="112"/>
      <c r="L1071" s="112"/>
      <c r="M1071" s="112"/>
      <c r="N1071" s="112"/>
    </row>
    <row r="1072" spans="2:14" s="19" customFormat="1">
      <c r="B1072" s="112"/>
      <c r="C1072" s="112"/>
      <c r="D1072" s="112"/>
      <c r="E1072" s="112"/>
      <c r="F1072" s="112"/>
      <c r="G1072" s="112"/>
      <c r="H1072" s="112"/>
      <c r="I1072" s="112"/>
      <c r="J1072" s="112"/>
      <c r="K1072" s="112"/>
      <c r="L1072" s="112"/>
      <c r="M1072" s="112"/>
      <c r="N1072" s="112"/>
    </row>
    <row r="1073" spans="2:14" s="19" customFormat="1">
      <c r="B1073" s="112"/>
      <c r="C1073" s="112"/>
      <c r="D1073" s="112"/>
      <c r="E1073" s="112"/>
      <c r="F1073" s="112"/>
      <c r="G1073" s="112"/>
      <c r="H1073" s="112"/>
      <c r="I1073" s="112"/>
      <c r="J1073" s="112"/>
      <c r="K1073" s="112"/>
      <c r="L1073" s="112"/>
      <c r="M1073" s="112"/>
      <c r="N1073" s="112"/>
    </row>
    <row r="1074" spans="2:14" s="19" customFormat="1">
      <c r="B1074" s="112"/>
      <c r="C1074" s="112"/>
      <c r="D1074" s="112"/>
      <c r="E1074" s="112"/>
      <c r="F1074" s="112"/>
      <c r="G1074" s="112"/>
      <c r="H1074" s="112"/>
      <c r="I1074" s="112"/>
      <c r="J1074" s="112"/>
      <c r="K1074" s="112"/>
      <c r="L1074" s="112"/>
      <c r="M1074" s="112"/>
      <c r="N1074" s="112"/>
    </row>
    <row r="1075" spans="2:14" s="19" customFormat="1">
      <c r="B1075" s="112"/>
      <c r="C1075" s="112"/>
      <c r="D1075" s="112"/>
      <c r="E1075" s="112"/>
      <c r="F1075" s="112"/>
      <c r="G1075" s="112"/>
      <c r="H1075" s="112"/>
      <c r="I1075" s="112"/>
      <c r="J1075" s="112"/>
      <c r="K1075" s="112"/>
      <c r="L1075" s="112"/>
      <c r="M1075" s="112"/>
      <c r="N1075" s="112"/>
    </row>
    <row r="1076" spans="2:14" s="19" customFormat="1">
      <c r="B1076" s="112"/>
      <c r="C1076" s="112"/>
      <c r="D1076" s="112"/>
      <c r="E1076" s="112"/>
      <c r="F1076" s="112"/>
      <c r="G1076" s="112"/>
      <c r="H1076" s="112"/>
      <c r="I1076" s="112"/>
      <c r="J1076" s="112"/>
      <c r="K1076" s="112"/>
      <c r="L1076" s="112"/>
      <c r="M1076" s="112"/>
      <c r="N1076" s="112"/>
    </row>
    <row r="1077" spans="2:14" s="19" customFormat="1">
      <c r="B1077" s="112"/>
      <c r="C1077" s="112"/>
      <c r="D1077" s="112"/>
      <c r="E1077" s="112"/>
      <c r="F1077" s="112"/>
      <c r="G1077" s="112"/>
      <c r="H1077" s="112"/>
      <c r="I1077" s="112"/>
      <c r="J1077" s="112"/>
      <c r="K1077" s="112"/>
      <c r="L1077" s="112"/>
      <c r="M1077" s="112"/>
      <c r="N1077" s="112"/>
    </row>
    <row r="1078" spans="2:14" s="19" customFormat="1">
      <c r="B1078" s="112"/>
      <c r="C1078" s="112"/>
      <c r="D1078" s="112"/>
      <c r="E1078" s="112"/>
      <c r="F1078" s="112"/>
      <c r="G1078" s="112"/>
      <c r="H1078" s="112"/>
      <c r="I1078" s="112"/>
      <c r="J1078" s="112"/>
      <c r="K1078" s="112"/>
      <c r="L1078" s="112"/>
      <c r="M1078" s="112"/>
      <c r="N1078" s="112"/>
    </row>
    <row r="1079" spans="2:14" s="19" customFormat="1">
      <c r="B1079" s="112"/>
      <c r="C1079" s="112"/>
      <c r="D1079" s="112"/>
      <c r="E1079" s="112"/>
      <c r="F1079" s="112"/>
      <c r="G1079" s="112"/>
      <c r="H1079" s="112"/>
      <c r="I1079" s="112"/>
      <c r="J1079" s="112"/>
      <c r="K1079" s="112"/>
      <c r="L1079" s="112"/>
      <c r="M1079" s="112"/>
      <c r="N1079" s="112"/>
    </row>
    <row r="1080" spans="2:14" s="19" customFormat="1">
      <c r="B1080" s="112"/>
      <c r="C1080" s="112"/>
      <c r="D1080" s="112"/>
      <c r="E1080" s="112"/>
      <c r="F1080" s="112"/>
      <c r="G1080" s="112"/>
      <c r="H1080" s="112"/>
      <c r="I1080" s="112"/>
      <c r="J1080" s="112"/>
      <c r="K1080" s="112"/>
      <c r="L1080" s="112"/>
      <c r="M1080" s="112"/>
      <c r="N1080" s="112"/>
    </row>
    <row r="1081" spans="2:14" s="19" customFormat="1">
      <c r="B1081" s="112"/>
      <c r="C1081" s="112"/>
      <c r="D1081" s="112"/>
      <c r="E1081" s="112"/>
      <c r="F1081" s="112"/>
      <c r="G1081" s="112"/>
      <c r="H1081" s="112"/>
      <c r="I1081" s="112"/>
      <c r="J1081" s="112"/>
      <c r="K1081" s="112"/>
      <c r="L1081" s="112"/>
      <c r="M1081" s="112"/>
      <c r="N1081" s="112"/>
    </row>
    <row r="1082" spans="2:14" s="19" customFormat="1">
      <c r="B1082" s="112"/>
      <c r="C1082" s="112"/>
      <c r="D1082" s="112"/>
      <c r="E1082" s="112"/>
      <c r="F1082" s="112"/>
      <c r="G1082" s="112"/>
      <c r="H1082" s="112"/>
      <c r="I1082" s="112"/>
      <c r="J1082" s="112"/>
      <c r="K1082" s="112"/>
      <c r="L1082" s="112"/>
      <c r="M1082" s="112"/>
      <c r="N1082" s="112"/>
    </row>
    <row r="1083" spans="2:14" s="19" customFormat="1">
      <c r="B1083" s="112"/>
      <c r="C1083" s="112"/>
      <c r="D1083" s="112"/>
      <c r="E1083" s="112"/>
      <c r="F1083" s="112"/>
      <c r="G1083" s="112"/>
      <c r="H1083" s="112"/>
      <c r="I1083" s="112"/>
      <c r="J1083" s="112"/>
      <c r="K1083" s="112"/>
      <c r="L1083" s="112"/>
      <c r="M1083" s="112"/>
      <c r="N1083" s="112"/>
    </row>
    <row r="1084" spans="2:14" s="19" customFormat="1">
      <c r="B1084" s="112"/>
      <c r="C1084" s="112"/>
      <c r="D1084" s="112"/>
      <c r="E1084" s="112"/>
      <c r="F1084" s="112"/>
      <c r="G1084" s="112"/>
      <c r="H1084" s="112"/>
      <c r="I1084" s="112"/>
      <c r="J1084" s="112"/>
      <c r="K1084" s="112"/>
      <c r="L1084" s="112"/>
      <c r="M1084" s="112"/>
      <c r="N1084" s="112"/>
    </row>
    <row r="1085" spans="2:14" s="19" customFormat="1">
      <c r="B1085" s="112"/>
      <c r="C1085" s="112"/>
      <c r="D1085" s="112"/>
      <c r="E1085" s="112"/>
      <c r="F1085" s="112"/>
      <c r="G1085" s="112"/>
      <c r="H1085" s="112"/>
      <c r="I1085" s="112"/>
      <c r="J1085" s="112"/>
      <c r="K1085" s="112"/>
      <c r="L1085" s="112"/>
      <c r="M1085" s="112"/>
      <c r="N1085" s="112"/>
    </row>
    <row r="1086" spans="2:14" s="19" customFormat="1">
      <c r="B1086" s="112"/>
      <c r="C1086" s="112"/>
      <c r="D1086" s="112"/>
      <c r="E1086" s="112"/>
      <c r="F1086" s="112"/>
      <c r="G1086" s="112"/>
      <c r="H1086" s="112"/>
      <c r="I1086" s="112"/>
      <c r="J1086" s="112"/>
      <c r="K1086" s="112"/>
      <c r="L1086" s="112"/>
      <c r="M1086" s="112"/>
      <c r="N1086" s="112"/>
    </row>
    <row r="1087" spans="2:14" s="19" customFormat="1">
      <c r="B1087" s="112"/>
      <c r="C1087" s="112"/>
      <c r="D1087" s="112"/>
      <c r="E1087" s="112"/>
      <c r="F1087" s="112"/>
      <c r="G1087" s="112"/>
      <c r="H1087" s="112"/>
      <c r="I1087" s="112"/>
      <c r="J1087" s="112"/>
      <c r="K1087" s="112"/>
      <c r="L1087" s="112"/>
      <c r="M1087" s="112"/>
      <c r="N1087" s="112"/>
    </row>
    <row r="1088" spans="2:14" s="19" customFormat="1">
      <c r="B1088" s="112"/>
      <c r="C1088" s="112"/>
      <c r="D1088" s="112"/>
      <c r="E1088" s="112"/>
      <c r="F1088" s="112"/>
      <c r="G1088" s="112"/>
      <c r="H1088" s="112"/>
      <c r="I1088" s="112"/>
      <c r="J1088" s="112"/>
      <c r="K1088" s="112"/>
      <c r="L1088" s="112"/>
      <c r="M1088" s="112"/>
      <c r="N1088" s="112"/>
    </row>
    <row r="1089" spans="2:14" s="19" customFormat="1">
      <c r="B1089" s="112"/>
      <c r="C1089" s="112"/>
      <c r="D1089" s="112"/>
      <c r="E1089" s="112"/>
      <c r="F1089" s="112"/>
      <c r="G1089" s="112"/>
      <c r="H1089" s="112"/>
      <c r="I1089" s="112"/>
      <c r="J1089" s="112"/>
      <c r="K1089" s="112"/>
      <c r="L1089" s="112"/>
      <c r="M1089" s="112"/>
      <c r="N1089" s="112"/>
    </row>
    <row r="1090" spans="2:14" s="19" customFormat="1">
      <c r="B1090" s="112"/>
      <c r="C1090" s="112"/>
      <c r="D1090" s="112"/>
      <c r="E1090" s="112"/>
      <c r="F1090" s="112"/>
      <c r="G1090" s="112"/>
      <c r="H1090" s="112"/>
      <c r="I1090" s="112"/>
      <c r="J1090" s="112"/>
      <c r="K1090" s="112"/>
      <c r="L1090" s="112"/>
      <c r="M1090" s="112"/>
      <c r="N1090" s="112"/>
    </row>
    <row r="1091" spans="2:14" s="19" customFormat="1">
      <c r="B1091" s="112"/>
      <c r="C1091" s="112"/>
      <c r="D1091" s="112"/>
      <c r="E1091" s="112"/>
      <c r="F1091" s="112"/>
      <c r="G1091" s="112"/>
      <c r="H1091" s="112"/>
      <c r="I1091" s="112"/>
      <c r="J1091" s="112"/>
      <c r="K1091" s="112"/>
      <c r="L1091" s="112"/>
      <c r="M1091" s="112"/>
      <c r="N1091" s="112"/>
    </row>
    <row r="1092" spans="2:14" s="19" customFormat="1">
      <c r="B1092" s="112"/>
      <c r="C1092" s="112"/>
      <c r="D1092" s="112"/>
      <c r="E1092" s="112"/>
      <c r="F1092" s="112"/>
      <c r="G1092" s="112"/>
      <c r="H1092" s="112"/>
      <c r="I1092" s="112"/>
      <c r="J1092" s="112"/>
      <c r="K1092" s="112"/>
      <c r="L1092" s="112"/>
      <c r="M1092" s="112"/>
      <c r="N1092" s="112"/>
    </row>
    <row r="1093" spans="2:14" s="19" customFormat="1">
      <c r="B1093" s="112"/>
      <c r="C1093" s="112"/>
      <c r="D1093" s="112"/>
      <c r="E1093" s="112"/>
      <c r="F1093" s="112"/>
      <c r="G1093" s="112"/>
      <c r="H1093" s="112"/>
      <c r="I1093" s="112"/>
      <c r="J1093" s="112"/>
      <c r="K1093" s="112"/>
      <c r="L1093" s="112"/>
      <c r="M1093" s="112"/>
      <c r="N1093" s="112"/>
    </row>
    <row r="1094" spans="2:14" s="19" customFormat="1">
      <c r="B1094" s="112"/>
      <c r="C1094" s="112"/>
      <c r="D1094" s="112"/>
      <c r="E1094" s="112"/>
      <c r="F1094" s="112"/>
      <c r="G1094" s="112"/>
      <c r="H1094" s="112"/>
      <c r="I1094" s="112"/>
      <c r="J1094" s="112"/>
      <c r="K1094" s="112"/>
      <c r="L1094" s="112"/>
      <c r="M1094" s="112"/>
      <c r="N1094" s="112"/>
    </row>
    <row r="1095" spans="2:14" s="19" customFormat="1">
      <c r="B1095" s="112"/>
      <c r="C1095" s="112"/>
      <c r="D1095" s="112"/>
      <c r="E1095" s="112"/>
      <c r="F1095" s="112"/>
      <c r="G1095" s="112"/>
      <c r="H1095" s="112"/>
      <c r="I1095" s="112"/>
      <c r="J1095" s="112"/>
      <c r="K1095" s="112"/>
      <c r="L1095" s="112"/>
      <c r="M1095" s="112"/>
      <c r="N1095" s="112"/>
    </row>
    <row r="1096" spans="2:14" s="19" customFormat="1">
      <c r="B1096" s="112"/>
      <c r="C1096" s="112"/>
      <c r="D1096" s="112"/>
      <c r="E1096" s="112"/>
      <c r="F1096" s="112"/>
      <c r="G1096" s="112"/>
      <c r="H1096" s="112"/>
      <c r="I1096" s="112"/>
      <c r="J1096" s="112"/>
      <c r="K1096" s="112"/>
      <c r="L1096" s="112"/>
      <c r="M1096" s="112"/>
      <c r="N1096" s="112"/>
    </row>
    <row r="1097" spans="2:14" s="19" customFormat="1">
      <c r="B1097" s="112"/>
      <c r="C1097" s="112"/>
      <c r="D1097" s="112"/>
      <c r="E1097" s="112"/>
      <c r="F1097" s="112"/>
      <c r="G1097" s="112"/>
      <c r="H1097" s="112"/>
      <c r="I1097" s="112"/>
      <c r="J1097" s="112"/>
      <c r="K1097" s="112"/>
      <c r="L1097" s="112"/>
      <c r="M1097" s="112"/>
      <c r="N1097" s="112"/>
    </row>
    <row r="1098" spans="2:14" s="19" customFormat="1">
      <c r="B1098" s="112"/>
      <c r="C1098" s="112"/>
      <c r="D1098" s="112"/>
      <c r="E1098" s="112"/>
      <c r="F1098" s="112"/>
      <c r="G1098" s="112"/>
      <c r="H1098" s="112"/>
      <c r="I1098" s="112"/>
      <c r="J1098" s="112"/>
      <c r="K1098" s="112"/>
      <c r="L1098" s="112"/>
      <c r="M1098" s="112"/>
      <c r="N1098" s="112"/>
    </row>
    <row r="1099" spans="2:14" s="19" customFormat="1">
      <c r="B1099" s="112"/>
      <c r="C1099" s="112"/>
      <c r="D1099" s="112"/>
      <c r="E1099" s="112"/>
      <c r="F1099" s="112"/>
      <c r="G1099" s="112"/>
      <c r="H1099" s="112"/>
      <c r="I1099" s="112"/>
      <c r="J1099" s="112"/>
      <c r="K1099" s="112"/>
      <c r="L1099" s="112"/>
      <c r="M1099" s="112"/>
      <c r="N1099" s="112"/>
    </row>
    <row r="1100" spans="2:14" s="19" customFormat="1">
      <c r="B1100" s="112"/>
      <c r="C1100" s="112"/>
      <c r="D1100" s="112"/>
      <c r="E1100" s="112"/>
      <c r="F1100" s="112"/>
      <c r="G1100" s="112"/>
      <c r="H1100" s="112"/>
      <c r="I1100" s="112"/>
      <c r="J1100" s="112"/>
      <c r="K1100" s="112"/>
      <c r="L1100" s="112"/>
      <c r="M1100" s="112"/>
      <c r="N1100" s="112"/>
    </row>
    <row r="1101" spans="2:14" s="19" customFormat="1">
      <c r="B1101" s="112"/>
      <c r="C1101" s="112"/>
      <c r="D1101" s="112"/>
      <c r="E1101" s="112"/>
      <c r="F1101" s="112"/>
      <c r="G1101" s="112"/>
      <c r="H1101" s="112"/>
      <c r="I1101" s="112"/>
      <c r="J1101" s="112"/>
      <c r="K1101" s="112"/>
      <c r="L1101" s="112"/>
      <c r="M1101" s="112"/>
      <c r="N1101" s="112"/>
    </row>
    <row r="1102" spans="2:14" s="19" customFormat="1">
      <c r="B1102" s="112"/>
      <c r="C1102" s="112"/>
      <c r="D1102" s="112"/>
      <c r="E1102" s="112"/>
      <c r="F1102" s="112"/>
      <c r="G1102" s="112"/>
      <c r="H1102" s="112"/>
      <c r="I1102" s="112"/>
      <c r="J1102" s="112"/>
      <c r="K1102" s="112"/>
      <c r="L1102" s="112"/>
      <c r="M1102" s="112"/>
      <c r="N1102" s="112"/>
    </row>
    <row r="1103" spans="2:14" s="19" customFormat="1">
      <c r="B1103" s="112"/>
      <c r="C1103" s="112"/>
      <c r="D1103" s="112"/>
      <c r="E1103" s="112"/>
      <c r="F1103" s="112"/>
      <c r="G1103" s="112"/>
      <c r="H1103" s="112"/>
      <c r="I1103" s="112"/>
      <c r="J1103" s="112"/>
      <c r="K1103" s="112"/>
      <c r="L1103" s="112"/>
      <c r="M1103" s="112"/>
      <c r="N1103" s="112"/>
    </row>
    <row r="1104" spans="2:14" s="19" customFormat="1">
      <c r="B1104" s="112"/>
      <c r="C1104" s="112"/>
      <c r="D1104" s="112"/>
      <c r="E1104" s="112"/>
      <c r="F1104" s="112"/>
      <c r="G1104" s="112"/>
      <c r="H1104" s="112"/>
      <c r="I1104" s="112"/>
      <c r="J1104" s="112"/>
      <c r="K1104" s="112"/>
      <c r="L1104" s="112"/>
      <c r="M1104" s="112"/>
      <c r="N1104" s="112"/>
    </row>
    <row r="1105" spans="2:14" s="19" customFormat="1">
      <c r="B1105" s="112"/>
      <c r="C1105" s="112"/>
      <c r="D1105" s="112"/>
      <c r="E1105" s="112"/>
      <c r="F1105" s="112"/>
      <c r="G1105" s="112"/>
      <c r="H1105" s="112"/>
      <c r="I1105" s="112"/>
      <c r="J1105" s="112"/>
      <c r="K1105" s="112"/>
      <c r="L1105" s="112"/>
      <c r="M1105" s="112"/>
      <c r="N1105" s="112"/>
    </row>
    <row r="1106" spans="2:14" s="19" customFormat="1">
      <c r="B1106" s="112"/>
      <c r="C1106" s="112"/>
      <c r="D1106" s="112"/>
      <c r="E1106" s="112"/>
      <c r="F1106" s="112"/>
      <c r="G1106" s="112"/>
      <c r="H1106" s="112"/>
      <c r="I1106" s="112"/>
      <c r="J1106" s="112"/>
      <c r="K1106" s="112"/>
      <c r="L1106" s="112"/>
      <c r="M1106" s="112"/>
      <c r="N1106" s="112"/>
    </row>
    <row r="1107" spans="2:14" s="19" customFormat="1">
      <c r="B1107" s="112"/>
      <c r="C1107" s="112"/>
      <c r="D1107" s="112"/>
      <c r="E1107" s="112"/>
      <c r="F1107" s="112"/>
      <c r="G1107" s="112"/>
      <c r="H1107" s="112"/>
      <c r="I1107" s="112"/>
      <c r="J1107" s="112"/>
      <c r="K1107" s="112"/>
      <c r="L1107" s="112"/>
      <c r="M1107" s="112"/>
      <c r="N1107" s="112"/>
    </row>
    <row r="1108" spans="2:14" s="19" customFormat="1">
      <c r="B1108" s="112"/>
      <c r="C1108" s="112"/>
      <c r="D1108" s="112"/>
      <c r="E1108" s="112"/>
      <c r="F1108" s="112"/>
      <c r="G1108" s="112"/>
      <c r="H1108" s="112"/>
      <c r="I1108" s="112"/>
      <c r="J1108" s="112"/>
      <c r="K1108" s="112"/>
      <c r="L1108" s="112"/>
      <c r="M1108" s="112"/>
      <c r="N1108" s="112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scale="83" orientation="landscape" r:id="rId1"/>
  <headerFooter alignWithMargins="0">
    <oddHeader xml:space="preserve">&amp;C&amp;"Arial,Fett"STRABAG Group
</oddHeader>
  </headerFooter>
  <rowBreaks count="6" manualBreakCount="6">
    <brk id="36" max="11" man="1"/>
    <brk id="77" max="11" man="1"/>
    <brk id="102" max="11" man="1"/>
    <brk id="123" max="11" man="1"/>
    <brk id="156" max="11" man="1"/>
    <brk id="186" max="16383" man="1"/>
  </rowBreaks>
  <ignoredErrors>
    <ignoredError sqref="H54" formulaRange="1"/>
    <ignoredError sqref="I48 I5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view="pageBreakPreview" zoomScaleNormal="100" zoomScaleSheetLayoutView="100" workbookViewId="0">
      <pane xSplit="1" ySplit="1" topLeftCell="B3" activePane="bottomRight" state="frozen"/>
      <selection activeCell="G1" sqref="G1"/>
      <selection pane="topRight" activeCell="G1" sqref="G1"/>
      <selection pane="bottomLeft" activeCell="G1" sqref="G1"/>
      <selection pane="bottomRight" activeCell="D25" sqref="D25"/>
    </sheetView>
  </sheetViews>
  <sheetFormatPr baseColWidth="10" defaultColWidth="20.6640625" defaultRowHeight="12" customHeight="1" outlineLevelRow="1"/>
  <cols>
    <col min="1" max="1" width="20.6640625" style="115" customWidth="1"/>
    <col min="2" max="14" width="10.88671875" style="116" customWidth="1"/>
    <col min="15" max="16384" width="20.6640625" style="115"/>
  </cols>
  <sheetData>
    <row r="1" spans="1:23" s="114" customFormat="1" ht="24.75" customHeight="1">
      <c r="A1" s="113" t="s">
        <v>135</v>
      </c>
      <c r="B1" s="2" t="s">
        <v>152</v>
      </c>
      <c r="C1" s="2" t="s">
        <v>153</v>
      </c>
      <c r="D1" s="2" t="s">
        <v>156</v>
      </c>
      <c r="E1" s="2" t="s">
        <v>149</v>
      </c>
      <c r="F1" s="2" t="s">
        <v>150</v>
      </c>
      <c r="G1" s="2" t="s">
        <v>151</v>
      </c>
      <c r="H1" s="2">
        <v>2014</v>
      </c>
      <c r="I1" s="2" t="s">
        <v>1</v>
      </c>
      <c r="J1" s="2">
        <v>2013</v>
      </c>
      <c r="K1" s="2" t="s">
        <v>2</v>
      </c>
      <c r="L1" s="2">
        <v>2012</v>
      </c>
      <c r="M1" s="2" t="s">
        <v>3</v>
      </c>
      <c r="N1" s="2">
        <v>2011</v>
      </c>
    </row>
    <row r="2" spans="1:23" ht="3" hidden="1" customHeight="1" outlineLevel="1"/>
    <row r="3" spans="1:23" s="121" customFormat="1" ht="10.199999999999999" customHeight="1" collapsed="1">
      <c r="A3" s="117" t="s">
        <v>4</v>
      </c>
      <c r="B3" s="118">
        <v>1632.64</v>
      </c>
      <c r="C3" s="119">
        <f>IF((+B3/D3)&lt;0,"n.m.",IF(B3&lt;0,(+B3/D3-1)*-1,(+B3/D3-1)))</f>
        <v>5.2704881036817364E-2</v>
      </c>
      <c r="D3" s="118">
        <v>1550.9</v>
      </c>
      <c r="E3" s="118">
        <f>E71</f>
        <v>2744.0699999999993</v>
      </c>
      <c r="F3" s="119">
        <f>IF((+E3/G3)&lt;0,"n.m.",IF(E3&lt;0,(+E3/G3-1)*-1,(+E3/G3-1)))</f>
        <v>3.5736528030980486E-2</v>
      </c>
      <c r="G3" s="118">
        <f>G71</f>
        <v>2649.39</v>
      </c>
      <c r="H3" s="118">
        <f>H71</f>
        <v>6292.4500000000007</v>
      </c>
      <c r="I3" s="297">
        <f t="shared" ref="I3:I7" si="0">IF((+H3/J3)&lt;0,"n.m.",IF(H3&lt;0,(+H3/J3-1)*-1,(+H3/J3-1)))</f>
        <v>4.5064780414242556E-2</v>
      </c>
      <c r="J3" s="118">
        <f>J71</f>
        <v>6021.1100000000006</v>
      </c>
      <c r="K3" s="120">
        <f>(J3-L3)/L3</f>
        <v>-3.4640710450412386E-2</v>
      </c>
      <c r="L3" s="118">
        <v>6237.1699999999992</v>
      </c>
      <c r="M3" s="120">
        <v>-2.5064399954982441E-2</v>
      </c>
      <c r="N3" s="118">
        <v>6397.5199999999986</v>
      </c>
    </row>
    <row r="4" spans="1:23" s="121" customFormat="1" ht="10.199999999999999" customHeight="1">
      <c r="A4" s="117" t="s">
        <v>5</v>
      </c>
      <c r="B4" s="118"/>
      <c r="C4" s="119"/>
      <c r="D4" s="118"/>
      <c r="E4" s="118">
        <f>E101</f>
        <v>6013.4699999999993</v>
      </c>
      <c r="F4" s="119">
        <f>IF((+E4/G4)&lt;0,"n.m.",IF(E4&lt;0,(+E4/G4-1)*-1,(+E4/G4-1)))</f>
        <v>-2.2597970164706105E-3</v>
      </c>
      <c r="G4" s="118">
        <f>G101</f>
        <v>6027.0899999999992</v>
      </c>
      <c r="H4" s="118">
        <f>H101</f>
        <v>5682.38</v>
      </c>
      <c r="I4" s="297">
        <f t="shared" si="0"/>
        <v>4.2397537450057365E-2</v>
      </c>
      <c r="J4" s="118">
        <f>J101</f>
        <v>5451.26</v>
      </c>
      <c r="K4" s="120">
        <f>(J4-L4)/L4</f>
        <v>0.1294390161026992</v>
      </c>
      <c r="L4" s="118">
        <v>4826.5200000000004</v>
      </c>
      <c r="M4" s="120">
        <v>-1.7406280919051831E-2</v>
      </c>
      <c r="N4" s="118">
        <v>4912.0200000000013</v>
      </c>
    </row>
    <row r="5" spans="1:23" s="121" customFormat="1" ht="10.199999999999999" customHeight="1">
      <c r="A5" s="117" t="s">
        <v>6</v>
      </c>
      <c r="B5" s="118">
        <v>1535.7</v>
      </c>
      <c r="C5" s="119">
        <f>IF((+B5/D5)&lt;0,"n.m.",IF(B5&lt;0,(+B5/D5-1)*-1,(+B5/D5-1)))</f>
        <v>4.2693608180225828E-2</v>
      </c>
      <c r="D5" s="118">
        <v>1472.82</v>
      </c>
      <c r="E5" s="118">
        <v>2568.9499999999998</v>
      </c>
      <c r="F5" s="119">
        <f>IF((+E5/G5)&lt;0,"n.m.",IF(E5&lt;0,(+E5/G5-1)*-1,(+E5/G5-1)))</f>
        <v>1.9206201845636262E-2</v>
      </c>
      <c r="G5" s="118">
        <v>2520.54</v>
      </c>
      <c r="H5" s="118">
        <v>5719.1220000000003</v>
      </c>
      <c r="I5" s="297">
        <f t="shared" si="0"/>
        <v>3.9681575904770838E-2</v>
      </c>
      <c r="J5" s="118">
        <v>5500.84</v>
      </c>
      <c r="K5" s="120">
        <f>(J5-L5)/L5</f>
        <v>-1.5765421562580328E-3</v>
      </c>
      <c r="L5" s="118">
        <v>5509.5259999999998</v>
      </c>
      <c r="M5" s="120">
        <v>-7.5673147353731651E-2</v>
      </c>
      <c r="N5" s="118">
        <v>5960.5820000000003</v>
      </c>
    </row>
    <row r="6" spans="1:23" s="121" customFormat="1" ht="10.199999999999999" customHeight="1">
      <c r="A6" s="117" t="s">
        <v>136</v>
      </c>
      <c r="B6" s="118">
        <v>-6.94</v>
      </c>
      <c r="C6" s="119">
        <f>IF((+B6/D6)&lt;0,"n.m.",IF(B6&lt;0,(+B6/D6-1)*-1,(+B6/D6-1)))</f>
        <v>0.6883700044903458</v>
      </c>
      <c r="D6" s="118">
        <v>-22.27</v>
      </c>
      <c r="E6" s="118">
        <v>-93.65</v>
      </c>
      <c r="F6" s="119">
        <f>IF((+E6/G6)&lt;0,"n.m.",IF(E6&lt;0,(+E6/G6-1)*-1,(+E6/G6-1)))</f>
        <v>1.0251532445571754E-2</v>
      </c>
      <c r="G6" s="118">
        <v>-94.62</v>
      </c>
      <c r="H6" s="118">
        <v>28.670999999999999</v>
      </c>
      <c r="I6" s="297">
        <f t="shared" si="0"/>
        <v>-0.60473965010959929</v>
      </c>
      <c r="J6" s="118">
        <v>72.537000000000006</v>
      </c>
      <c r="K6" s="120" t="s">
        <v>14</v>
      </c>
      <c r="L6" s="118">
        <v>-51.317</v>
      </c>
      <c r="M6" s="120" t="s">
        <v>14</v>
      </c>
      <c r="N6" s="118">
        <v>149.125</v>
      </c>
    </row>
    <row r="7" spans="1:23" s="121" customFormat="1" ht="10.199999999999999" customHeight="1">
      <c r="A7" s="117" t="s">
        <v>146</v>
      </c>
      <c r="B7" s="118">
        <v>-6.94</v>
      </c>
      <c r="C7" s="119">
        <f>IF((+B7/D7)&lt;0,"n.m.",IF(B7&lt;0,(+B7/D7-1)*-1,(+B7/D7-1)))</f>
        <v>0.6883700044903458</v>
      </c>
      <c r="D7" s="118">
        <v>-22.27</v>
      </c>
      <c r="E7" s="118">
        <v>-93.65</v>
      </c>
      <c r="F7" s="119">
        <f>IF((+E7/G7)&lt;0,"n.m.",IF(E7&lt;0,(+E7/G7-1)*-1,(+E7/G7-1)))</f>
        <v>1.0251532445571754E-2</v>
      </c>
      <c r="G7" s="118">
        <v>-94.62</v>
      </c>
      <c r="H7" s="118">
        <v>28.670999999999999</v>
      </c>
      <c r="I7" s="297">
        <f t="shared" si="0"/>
        <v>-0.60473965010959929</v>
      </c>
      <c r="J7" s="118">
        <v>72.537000000000006</v>
      </c>
      <c r="K7" s="120" t="s">
        <v>14</v>
      </c>
      <c r="L7" s="118">
        <v>-51.317</v>
      </c>
      <c r="M7" s="120" t="s">
        <v>14</v>
      </c>
      <c r="N7" s="118">
        <v>149.125</v>
      </c>
    </row>
    <row r="8" spans="1:23" ht="10.199999999999999" customHeight="1">
      <c r="A8" s="122" t="s">
        <v>137</v>
      </c>
      <c r="B8" s="123">
        <f>B6/B5</f>
        <v>-4.5191118056912161E-3</v>
      </c>
      <c r="C8" s="120"/>
      <c r="D8" s="123">
        <f>D6/D5</f>
        <v>-1.5120652897163266E-2</v>
      </c>
      <c r="E8" s="123">
        <f>E6/E5</f>
        <v>-3.6454582611572826E-2</v>
      </c>
      <c r="F8" s="120"/>
      <c r="G8" s="123">
        <f>G6/G5</f>
        <v>-3.7539574853007691E-2</v>
      </c>
      <c r="H8" s="123">
        <f>H6/H5</f>
        <v>5.0131820933353053E-3</v>
      </c>
      <c r="I8" s="123"/>
      <c r="J8" s="123">
        <f>J6/J5</f>
        <v>1.3186531511550964E-2</v>
      </c>
      <c r="K8" s="123"/>
      <c r="L8" s="123">
        <f>L6/L5</f>
        <v>-9.3142313876003122E-3</v>
      </c>
      <c r="M8" s="123"/>
      <c r="N8" s="123">
        <f>N6/N5</f>
        <v>2.5018530069714669E-2</v>
      </c>
    </row>
    <row r="9" spans="1:23" ht="10.199999999999999" customHeight="1">
      <c r="A9" s="122" t="s">
        <v>138</v>
      </c>
      <c r="B9" s="124">
        <f>B3/Group!B2</f>
        <v>0.43696354444066776</v>
      </c>
      <c r="C9" s="124"/>
      <c r="D9" s="124">
        <f>D3/Group!D2</f>
        <v>0.45139283022053023</v>
      </c>
      <c r="E9" s="124">
        <f>E3/Group!E2</f>
        <v>0.44225881473148443</v>
      </c>
      <c r="F9" s="124"/>
      <c r="G9" s="124">
        <f>G3/Group!G2</f>
        <v>0.45840766149613726</v>
      </c>
      <c r="H9" s="124">
        <f>H3/Group!H185</f>
        <v>0.46383974642488579</v>
      </c>
      <c r="I9" s="124"/>
      <c r="J9" s="124">
        <f>J3/Group!J185</f>
        <v>0.44360708373271485</v>
      </c>
      <c r="K9" s="124"/>
      <c r="L9" s="124">
        <f>L3/Group!L2</f>
        <v>0.44416062552518754</v>
      </c>
      <c r="M9" s="124"/>
      <c r="N9" s="124">
        <f>N3/Group!N2</f>
        <v>0.44657175664969251</v>
      </c>
    </row>
    <row r="10" spans="1:23" ht="10.199999999999999" customHeight="1">
      <c r="A10" s="122" t="s">
        <v>139</v>
      </c>
      <c r="B10" s="124"/>
      <c r="C10" s="124"/>
      <c r="D10" s="124"/>
      <c r="E10" s="124">
        <f>E4/Group!E3</f>
        <v>0.40518130665306501</v>
      </c>
      <c r="F10" s="124"/>
      <c r="G10" s="124">
        <f>G4/Group!G3</f>
        <v>0.38963686154037108</v>
      </c>
      <c r="H10" s="124">
        <f>H4/Group!H215</f>
        <v>0.39451547685830601</v>
      </c>
      <c r="I10" s="124"/>
      <c r="J10" s="124">
        <f>J4/Group!J215</f>
        <v>0.40470597668244529</v>
      </c>
      <c r="K10" s="124"/>
      <c r="L10" s="124">
        <f>L4/Group!L3</f>
        <v>0.36557178629155035</v>
      </c>
      <c r="M10" s="124"/>
      <c r="N10" s="124">
        <f>N4/Group!N3</f>
        <v>0.36783136138984585</v>
      </c>
    </row>
    <row r="11" spans="1:23" ht="10.199999999999999" customHeight="1">
      <c r="A11" s="122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1:23" s="121" customFormat="1" ht="10.199999999999999" customHeight="1">
      <c r="A12" s="126" t="s">
        <v>104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</row>
    <row r="13" spans="1:23" s="4" customFormat="1" ht="10.199999999999999">
      <c r="A13" s="128" t="s">
        <v>105</v>
      </c>
      <c r="B13" s="129"/>
      <c r="C13" s="130"/>
      <c r="D13" s="129"/>
      <c r="E13" s="129">
        <v>16481</v>
      </c>
      <c r="F13" s="130">
        <f t="shared" ref="F13:F25" si="1">IF((+E13/G13)&lt;0,"n.m.",IF(E13&lt;0,(+E13/G13-1)*-1,(+E13/G13-1)))</f>
        <v>3.0964594019767366E-2</v>
      </c>
      <c r="G13" s="129">
        <v>15986</v>
      </c>
      <c r="H13" s="129">
        <v>16948</v>
      </c>
      <c r="I13" s="151">
        <f>IF((+H13/J13)&lt;0,"n.m.",IF(H13&lt;0,(+H13/J13-1)*-1,(+H13/J13-1)))</f>
        <v>5.3390515258872506E-2</v>
      </c>
      <c r="J13" s="129">
        <v>16089</v>
      </c>
      <c r="K13" s="130"/>
      <c r="L13" s="131"/>
      <c r="M13" s="130"/>
      <c r="N13" s="132"/>
      <c r="O13" s="8"/>
      <c r="P13" s="8"/>
      <c r="Q13" s="8"/>
      <c r="R13" s="8"/>
      <c r="S13" s="8"/>
      <c r="T13" s="8"/>
      <c r="U13" s="8"/>
      <c r="V13" s="8"/>
      <c r="W13" s="8"/>
    </row>
    <row r="14" spans="1:23" s="4" customFormat="1" ht="10.199999999999999">
      <c r="A14" s="128" t="s">
        <v>106</v>
      </c>
      <c r="B14" s="129"/>
      <c r="C14" s="130"/>
      <c r="D14" s="129"/>
      <c r="E14" s="129">
        <v>113</v>
      </c>
      <c r="F14" s="130">
        <f t="shared" si="1"/>
        <v>-2.5862068965517238E-2</v>
      </c>
      <c r="G14" s="129">
        <v>116</v>
      </c>
      <c r="H14" s="129">
        <v>111</v>
      </c>
      <c r="I14" s="151">
        <f t="shared" ref="I14:I39" si="2">IF((+H14/J14)&lt;0,"n.m.",IF(H14&lt;0,(+H14/J14-1)*-1,(+H14/J14-1)))</f>
        <v>-1.7699115044247815E-2</v>
      </c>
      <c r="J14" s="129">
        <v>113</v>
      </c>
      <c r="K14" s="130"/>
      <c r="L14" s="131"/>
      <c r="M14" s="130"/>
      <c r="N14" s="132"/>
      <c r="O14" s="8"/>
      <c r="P14" s="8"/>
      <c r="Q14" s="8"/>
      <c r="R14" s="8"/>
      <c r="S14" s="8"/>
      <c r="T14" s="8"/>
      <c r="U14" s="8"/>
      <c r="V14" s="8"/>
      <c r="W14" s="8"/>
    </row>
    <row r="15" spans="1:23" s="4" customFormat="1" ht="10.199999999999999">
      <c r="A15" s="128" t="s">
        <v>107</v>
      </c>
      <c r="B15" s="129"/>
      <c r="C15" s="130"/>
      <c r="D15" s="129"/>
      <c r="E15" s="129">
        <v>3260</v>
      </c>
      <c r="F15" s="130">
        <f t="shared" si="1"/>
        <v>-4.2761148442272967E-3</v>
      </c>
      <c r="G15" s="129">
        <v>3274</v>
      </c>
      <c r="H15" s="129">
        <v>3254</v>
      </c>
      <c r="I15" s="151">
        <f t="shared" si="2"/>
        <v>-0.12784776199410341</v>
      </c>
      <c r="J15" s="129">
        <v>3731</v>
      </c>
      <c r="K15" s="130"/>
      <c r="L15" s="131"/>
      <c r="M15" s="130"/>
      <c r="N15" s="132"/>
      <c r="O15" s="8"/>
      <c r="P15" s="8"/>
      <c r="Q15" s="8"/>
      <c r="R15" s="8"/>
      <c r="S15" s="8"/>
      <c r="T15" s="8"/>
      <c r="U15" s="8"/>
      <c r="V15" s="8"/>
      <c r="W15" s="8"/>
    </row>
    <row r="16" spans="1:23" s="4" customFormat="1" ht="10.199999999999999">
      <c r="A16" s="128" t="s">
        <v>108</v>
      </c>
      <c r="B16" s="129"/>
      <c r="C16" s="130"/>
      <c r="D16" s="129"/>
      <c r="E16" s="129">
        <v>1</v>
      </c>
      <c r="F16" s="130"/>
      <c r="G16" s="129">
        <v>0</v>
      </c>
      <c r="H16" s="129">
        <v>0</v>
      </c>
      <c r="I16" s="151"/>
      <c r="J16" s="129">
        <v>0</v>
      </c>
      <c r="K16" s="130"/>
      <c r="L16" s="131"/>
      <c r="M16" s="130"/>
      <c r="N16" s="132"/>
      <c r="O16" s="8"/>
      <c r="P16" s="8"/>
      <c r="Q16" s="8"/>
      <c r="R16" s="8"/>
      <c r="S16" s="8"/>
      <c r="T16" s="8"/>
      <c r="U16" s="8"/>
      <c r="V16" s="8"/>
      <c r="W16" s="8"/>
    </row>
    <row r="17" spans="1:23" s="13" customFormat="1" ht="10.199999999999999">
      <c r="A17" s="128" t="s">
        <v>109</v>
      </c>
      <c r="B17" s="129"/>
      <c r="C17" s="130"/>
      <c r="D17" s="129"/>
      <c r="E17" s="129">
        <v>1</v>
      </c>
      <c r="F17" s="130">
        <f t="shared" si="1"/>
        <v>-0.5</v>
      </c>
      <c r="G17" s="129">
        <v>2</v>
      </c>
      <c r="H17" s="129">
        <v>1</v>
      </c>
      <c r="I17" s="151">
        <f t="shared" si="2"/>
        <v>-0.75</v>
      </c>
      <c r="J17" s="129">
        <v>4</v>
      </c>
      <c r="K17" s="130"/>
      <c r="L17" s="131"/>
      <c r="M17" s="130"/>
      <c r="N17" s="132"/>
      <c r="O17" s="19"/>
      <c r="P17" s="19"/>
      <c r="Q17" s="19"/>
      <c r="R17" s="19"/>
      <c r="S17" s="19"/>
      <c r="T17" s="19"/>
      <c r="U17" s="19"/>
      <c r="V17" s="19"/>
      <c r="W17" s="19"/>
    </row>
    <row r="18" spans="1:23" s="13" customFormat="1" ht="10.199999999999999">
      <c r="A18" s="128" t="s">
        <v>110</v>
      </c>
      <c r="B18" s="129"/>
      <c r="C18" s="130"/>
      <c r="D18" s="129"/>
      <c r="E18" s="129">
        <v>181</v>
      </c>
      <c r="F18" s="130">
        <f t="shared" si="1"/>
        <v>-0.49582172701949856</v>
      </c>
      <c r="G18" s="129">
        <v>359</v>
      </c>
      <c r="H18" s="129">
        <v>327</v>
      </c>
      <c r="I18" s="151">
        <f t="shared" si="2"/>
        <v>-7.1022727272727293E-2</v>
      </c>
      <c r="J18" s="129">
        <v>352</v>
      </c>
      <c r="K18" s="130"/>
      <c r="L18" s="131"/>
      <c r="M18" s="130"/>
      <c r="N18" s="132"/>
      <c r="O18" s="19"/>
      <c r="P18" s="19"/>
      <c r="Q18" s="19"/>
      <c r="R18" s="19"/>
      <c r="S18" s="19"/>
      <c r="T18" s="19"/>
      <c r="U18" s="19"/>
      <c r="V18" s="19"/>
      <c r="W18" s="19"/>
    </row>
    <row r="19" spans="1:23" s="13" customFormat="1" ht="10.199999999999999">
      <c r="A19" s="128" t="s">
        <v>111</v>
      </c>
      <c r="B19" s="129"/>
      <c r="C19" s="130"/>
      <c r="D19" s="129"/>
      <c r="E19" s="129">
        <v>0</v>
      </c>
      <c r="F19" s="130"/>
      <c r="G19" s="129">
        <v>0</v>
      </c>
      <c r="H19" s="129">
        <v>0</v>
      </c>
      <c r="I19" s="151"/>
      <c r="J19" s="129">
        <v>0</v>
      </c>
      <c r="K19" s="130"/>
      <c r="L19" s="131"/>
      <c r="M19" s="130"/>
      <c r="N19" s="132"/>
      <c r="O19" s="19"/>
      <c r="P19" s="19"/>
      <c r="Q19" s="19"/>
      <c r="R19" s="19"/>
      <c r="S19" s="19"/>
      <c r="T19" s="19"/>
      <c r="U19" s="19"/>
      <c r="V19" s="19"/>
      <c r="W19" s="19"/>
    </row>
    <row r="20" spans="1:23" s="13" customFormat="1" ht="10.199999999999999">
      <c r="A20" s="128" t="s">
        <v>112</v>
      </c>
      <c r="B20" s="129"/>
      <c r="C20" s="130"/>
      <c r="D20" s="129"/>
      <c r="E20" s="129">
        <v>73</v>
      </c>
      <c r="F20" s="130">
        <f t="shared" si="1"/>
        <v>5.7971014492753659E-2</v>
      </c>
      <c r="G20" s="129">
        <v>69</v>
      </c>
      <c r="H20" s="129">
        <v>68</v>
      </c>
      <c r="I20" s="151">
        <f t="shared" si="2"/>
        <v>-6.8493150684931559E-2</v>
      </c>
      <c r="J20" s="129">
        <v>73</v>
      </c>
      <c r="K20" s="130"/>
      <c r="L20" s="131"/>
      <c r="M20" s="130"/>
      <c r="N20" s="132"/>
      <c r="O20" s="19"/>
      <c r="P20" s="19"/>
      <c r="Q20" s="19"/>
      <c r="R20" s="19"/>
      <c r="S20" s="19"/>
      <c r="T20" s="19"/>
      <c r="U20" s="19"/>
      <c r="V20" s="19"/>
      <c r="W20" s="19"/>
    </row>
    <row r="21" spans="1:23" s="13" customFormat="1" ht="10.199999999999999">
      <c r="A21" s="128" t="s">
        <v>113</v>
      </c>
      <c r="B21" s="129"/>
      <c r="C21" s="130"/>
      <c r="D21" s="129"/>
      <c r="E21" s="129">
        <v>2</v>
      </c>
      <c r="F21" s="130"/>
      <c r="G21" s="129">
        <v>0</v>
      </c>
      <c r="H21" s="129">
        <v>0</v>
      </c>
      <c r="I21" s="151">
        <f t="shared" si="2"/>
        <v>-1</v>
      </c>
      <c r="J21" s="129">
        <v>1</v>
      </c>
      <c r="K21" s="130"/>
      <c r="L21" s="131"/>
      <c r="M21" s="130"/>
      <c r="N21" s="132"/>
      <c r="O21" s="19"/>
      <c r="P21" s="19"/>
      <c r="Q21" s="19"/>
      <c r="R21" s="19"/>
      <c r="S21" s="19"/>
      <c r="T21" s="19"/>
      <c r="U21" s="19"/>
      <c r="V21" s="19"/>
      <c r="W21" s="19"/>
    </row>
    <row r="22" spans="1:23" s="13" customFormat="1" ht="10.199999999999999">
      <c r="A22" s="128" t="s">
        <v>114</v>
      </c>
      <c r="B22" s="129"/>
      <c r="C22" s="130"/>
      <c r="D22" s="129"/>
      <c r="E22" s="129">
        <v>0</v>
      </c>
      <c r="F22" s="130"/>
      <c r="G22" s="129">
        <v>0</v>
      </c>
      <c r="H22" s="129">
        <v>0</v>
      </c>
      <c r="I22" s="151"/>
      <c r="J22" s="129">
        <v>0</v>
      </c>
      <c r="K22" s="130"/>
      <c r="L22" s="131"/>
      <c r="M22" s="130"/>
      <c r="N22" s="132"/>
      <c r="O22" s="19"/>
      <c r="P22" s="19"/>
      <c r="Q22" s="19"/>
      <c r="R22" s="19"/>
      <c r="S22" s="19"/>
      <c r="T22" s="19"/>
      <c r="U22" s="19"/>
      <c r="V22" s="19"/>
      <c r="W22" s="19"/>
    </row>
    <row r="23" spans="1:23" s="13" customFormat="1" ht="10.199999999999999">
      <c r="A23" s="128" t="s">
        <v>115</v>
      </c>
      <c r="B23" s="129"/>
      <c r="C23" s="130"/>
      <c r="D23" s="129"/>
      <c r="E23" s="129">
        <v>0</v>
      </c>
      <c r="F23" s="130"/>
      <c r="G23" s="129">
        <v>0</v>
      </c>
      <c r="H23" s="129">
        <v>0</v>
      </c>
      <c r="I23" s="151"/>
      <c r="J23" s="129">
        <v>0</v>
      </c>
      <c r="K23" s="130"/>
      <c r="L23" s="131"/>
      <c r="M23" s="130"/>
      <c r="N23" s="132"/>
      <c r="O23" s="19"/>
      <c r="P23" s="19"/>
      <c r="Q23" s="19"/>
      <c r="R23" s="19"/>
      <c r="S23" s="19"/>
      <c r="T23" s="19"/>
      <c r="U23" s="19"/>
      <c r="V23" s="19"/>
      <c r="W23" s="19"/>
    </row>
    <row r="24" spans="1:23" s="13" customFormat="1" ht="10.199999999999999">
      <c r="A24" s="128" t="s">
        <v>116</v>
      </c>
      <c r="B24" s="129"/>
      <c r="C24" s="130"/>
      <c r="D24" s="129"/>
      <c r="E24" s="129">
        <v>0</v>
      </c>
      <c r="F24" s="130"/>
      <c r="G24" s="129">
        <v>0</v>
      </c>
      <c r="H24" s="129">
        <v>0</v>
      </c>
      <c r="I24" s="151"/>
      <c r="J24" s="129">
        <v>0</v>
      </c>
      <c r="K24" s="130"/>
      <c r="L24" s="131"/>
      <c r="M24" s="130"/>
      <c r="N24" s="132"/>
      <c r="O24" s="19"/>
      <c r="P24" s="19"/>
      <c r="Q24" s="19"/>
      <c r="R24" s="19"/>
      <c r="S24" s="19"/>
      <c r="T24" s="19"/>
      <c r="U24" s="19"/>
      <c r="V24" s="19"/>
      <c r="W24" s="19"/>
    </row>
    <row r="25" spans="1:23" s="13" customFormat="1" ht="10.199999999999999">
      <c r="A25" s="128" t="s">
        <v>117</v>
      </c>
      <c r="B25" s="129"/>
      <c r="C25" s="130"/>
      <c r="D25" s="129"/>
      <c r="E25" s="129">
        <v>70</v>
      </c>
      <c r="F25" s="130">
        <f t="shared" si="1"/>
        <v>-0.14634146341463417</v>
      </c>
      <c r="G25" s="129">
        <v>82</v>
      </c>
      <c r="H25" s="129">
        <v>78</v>
      </c>
      <c r="I25" s="151">
        <f t="shared" si="2"/>
        <v>-0.11363636363636365</v>
      </c>
      <c r="J25" s="129">
        <v>88</v>
      </c>
      <c r="K25" s="130"/>
      <c r="L25" s="131"/>
      <c r="M25" s="130"/>
      <c r="N25" s="132"/>
      <c r="O25" s="19"/>
      <c r="P25" s="19"/>
      <c r="Q25" s="19"/>
      <c r="R25" s="19"/>
      <c r="S25" s="19"/>
      <c r="T25" s="19"/>
      <c r="U25" s="19"/>
      <c r="V25" s="19"/>
      <c r="W25" s="19"/>
    </row>
    <row r="26" spans="1:23" s="13" customFormat="1" ht="10.199999999999999">
      <c r="A26" s="128" t="s">
        <v>118</v>
      </c>
      <c r="B26" s="134"/>
      <c r="C26" s="130"/>
      <c r="D26" s="134"/>
      <c r="E26" s="134">
        <v>605</v>
      </c>
      <c r="F26" s="130">
        <f t="shared" ref="F26:F40" si="3">IF((+E26/G26)&lt;0,"n.m.",IF(E26&lt;0,(+E26/G26-1)*-1,(+E26/G26-1)))</f>
        <v>1.001669449081799E-2</v>
      </c>
      <c r="G26" s="134">
        <v>599</v>
      </c>
      <c r="H26" s="134">
        <v>610</v>
      </c>
      <c r="I26" s="151">
        <f t="shared" si="2"/>
        <v>-0.21391752577319589</v>
      </c>
      <c r="J26" s="134">
        <v>776</v>
      </c>
      <c r="K26" s="130"/>
      <c r="L26" s="135"/>
      <c r="M26" s="130"/>
      <c r="N26" s="136"/>
      <c r="O26" s="19"/>
      <c r="P26" s="19"/>
      <c r="Q26" s="19"/>
      <c r="R26" s="19"/>
      <c r="S26" s="19"/>
      <c r="T26" s="19"/>
      <c r="U26" s="19"/>
      <c r="V26" s="19"/>
      <c r="W26" s="19"/>
    </row>
    <row r="27" spans="1:23" s="13" customFormat="1" ht="10.199999999999999">
      <c r="A27" s="128" t="s">
        <v>119</v>
      </c>
      <c r="B27" s="129"/>
      <c r="C27" s="130"/>
      <c r="D27" s="129"/>
      <c r="E27" s="129">
        <v>433</v>
      </c>
      <c r="F27" s="130">
        <f t="shared" si="3"/>
        <v>-0.23901581722319865</v>
      </c>
      <c r="G27" s="129">
        <v>569</v>
      </c>
      <c r="H27" s="129">
        <v>519</v>
      </c>
      <c r="I27" s="151">
        <f t="shared" si="2"/>
        <v>-0.24563953488372092</v>
      </c>
      <c r="J27" s="129">
        <v>688</v>
      </c>
      <c r="K27" s="130"/>
      <c r="L27" s="131"/>
      <c r="M27" s="130"/>
      <c r="N27" s="132"/>
      <c r="O27" s="19"/>
      <c r="P27" s="19"/>
      <c r="Q27" s="19"/>
      <c r="R27" s="19"/>
      <c r="S27" s="19"/>
      <c r="T27" s="19"/>
      <c r="U27" s="19"/>
      <c r="V27" s="19"/>
      <c r="W27" s="19"/>
    </row>
    <row r="28" spans="1:23" s="4" customFormat="1" ht="10.199999999999999">
      <c r="A28" s="128" t="s">
        <v>120</v>
      </c>
      <c r="B28" s="129"/>
      <c r="C28" s="130"/>
      <c r="D28" s="129"/>
      <c r="E28" s="129">
        <v>4</v>
      </c>
      <c r="F28" s="130">
        <f t="shared" si="3"/>
        <v>-0.63636363636363635</v>
      </c>
      <c r="G28" s="129">
        <v>11</v>
      </c>
      <c r="H28" s="129">
        <v>12</v>
      </c>
      <c r="I28" s="151">
        <f t="shared" si="2"/>
        <v>0.33333333333333326</v>
      </c>
      <c r="J28" s="129">
        <v>9</v>
      </c>
      <c r="K28" s="130"/>
      <c r="L28" s="131"/>
      <c r="M28" s="130"/>
      <c r="N28" s="132"/>
      <c r="O28" s="8"/>
      <c r="P28" s="8"/>
      <c r="Q28" s="8"/>
      <c r="R28" s="8"/>
      <c r="S28" s="8"/>
      <c r="T28" s="8"/>
      <c r="U28" s="8"/>
      <c r="V28" s="8"/>
      <c r="W28" s="8"/>
    </row>
    <row r="29" spans="1:23" s="13" customFormat="1" ht="10.199999999999999">
      <c r="A29" s="128" t="s">
        <v>121</v>
      </c>
      <c r="B29" s="129"/>
      <c r="C29" s="130"/>
      <c r="D29" s="129"/>
      <c r="E29" s="129">
        <v>551</v>
      </c>
      <c r="F29" s="130">
        <f t="shared" si="3"/>
        <v>0.10865191146881292</v>
      </c>
      <c r="G29" s="129">
        <v>497</v>
      </c>
      <c r="H29" s="129">
        <v>563</v>
      </c>
      <c r="I29" s="151">
        <f t="shared" si="2"/>
        <v>1.307377049180328</v>
      </c>
      <c r="J29" s="129">
        <v>244</v>
      </c>
      <c r="K29" s="130"/>
      <c r="L29" s="131"/>
      <c r="M29" s="130"/>
      <c r="N29" s="132"/>
      <c r="O29" s="19"/>
      <c r="P29" s="19"/>
      <c r="Q29" s="19"/>
      <c r="R29" s="19"/>
      <c r="S29" s="19"/>
      <c r="T29" s="19"/>
      <c r="U29" s="19"/>
      <c r="V29" s="19"/>
      <c r="W29" s="19"/>
    </row>
    <row r="30" spans="1:23" s="13" customFormat="1" ht="10.199999999999999">
      <c r="A30" s="128" t="s">
        <v>122</v>
      </c>
      <c r="B30" s="129"/>
      <c r="C30" s="130"/>
      <c r="D30" s="129"/>
      <c r="E30" s="129">
        <v>197</v>
      </c>
      <c r="F30" s="130">
        <f t="shared" si="3"/>
        <v>-0.44507042253521123</v>
      </c>
      <c r="G30" s="129">
        <v>355</v>
      </c>
      <c r="H30" s="129">
        <v>327</v>
      </c>
      <c r="I30" s="151">
        <f t="shared" si="2"/>
        <v>-3.2544378698224907E-2</v>
      </c>
      <c r="J30" s="129">
        <v>338</v>
      </c>
      <c r="K30" s="130"/>
      <c r="L30" s="131"/>
      <c r="M30" s="130"/>
      <c r="N30" s="132"/>
      <c r="O30" s="19"/>
      <c r="P30" s="19"/>
      <c r="Q30" s="19"/>
      <c r="R30" s="19"/>
      <c r="S30" s="19"/>
      <c r="T30" s="19"/>
      <c r="U30" s="19"/>
      <c r="V30" s="19"/>
      <c r="W30" s="19"/>
    </row>
    <row r="31" spans="1:23" s="13" customFormat="1" ht="10.199999999999999">
      <c r="A31" s="128" t="s">
        <v>123</v>
      </c>
      <c r="B31" s="129"/>
      <c r="C31" s="130"/>
      <c r="D31" s="129"/>
      <c r="E31" s="129">
        <v>220</v>
      </c>
      <c r="F31" s="130">
        <f t="shared" si="3"/>
        <v>-0.19999999999999996</v>
      </c>
      <c r="G31" s="129">
        <v>275</v>
      </c>
      <c r="H31" s="129">
        <v>258</v>
      </c>
      <c r="I31" s="151">
        <f t="shared" si="2"/>
        <v>0.70860927152317887</v>
      </c>
      <c r="J31" s="129">
        <v>151</v>
      </c>
      <c r="K31" s="130"/>
      <c r="L31" s="131"/>
      <c r="M31" s="130"/>
      <c r="N31" s="132"/>
      <c r="O31" s="19"/>
      <c r="P31" s="19"/>
      <c r="Q31" s="19"/>
      <c r="R31" s="19"/>
      <c r="S31" s="19"/>
      <c r="T31" s="19"/>
      <c r="U31" s="19"/>
      <c r="V31" s="19"/>
      <c r="W31" s="19"/>
    </row>
    <row r="32" spans="1:23" s="13" customFormat="1" ht="10.199999999999999">
      <c r="A32" s="128" t="s">
        <v>124</v>
      </c>
      <c r="B32" s="129"/>
      <c r="C32" s="130"/>
      <c r="D32" s="129"/>
      <c r="E32" s="129">
        <v>37</v>
      </c>
      <c r="F32" s="130">
        <f t="shared" si="3"/>
        <v>0.3214285714285714</v>
      </c>
      <c r="G32" s="129">
        <v>28</v>
      </c>
      <c r="H32" s="129">
        <v>30</v>
      </c>
      <c r="I32" s="151">
        <f t="shared" si="2"/>
        <v>7.1428571428571397E-2</v>
      </c>
      <c r="J32" s="129">
        <v>28</v>
      </c>
      <c r="K32" s="137"/>
      <c r="L32" s="131"/>
      <c r="M32" s="137"/>
      <c r="N32" s="132"/>
      <c r="O32" s="19"/>
      <c r="P32" s="19"/>
      <c r="Q32" s="19"/>
      <c r="R32" s="19"/>
      <c r="S32" s="19"/>
      <c r="T32" s="19"/>
      <c r="U32" s="19"/>
      <c r="V32" s="19"/>
      <c r="W32" s="19"/>
    </row>
    <row r="33" spans="1:23" s="13" customFormat="1" ht="10.199999999999999">
      <c r="A33" s="128" t="s">
        <v>125</v>
      </c>
      <c r="B33" s="138"/>
      <c r="C33" s="130"/>
      <c r="D33" s="138"/>
      <c r="E33" s="138">
        <v>13</v>
      </c>
      <c r="F33" s="130">
        <f t="shared" si="3"/>
        <v>0</v>
      </c>
      <c r="G33" s="138">
        <v>13</v>
      </c>
      <c r="H33" s="138">
        <v>12</v>
      </c>
      <c r="I33" s="151">
        <f t="shared" si="2"/>
        <v>2</v>
      </c>
      <c r="J33" s="138">
        <v>4</v>
      </c>
      <c r="K33" s="130"/>
      <c r="L33" s="139"/>
      <c r="M33" s="130"/>
      <c r="N33" s="138"/>
      <c r="O33" s="19"/>
      <c r="P33" s="19"/>
      <c r="Q33" s="19"/>
      <c r="R33" s="19"/>
      <c r="S33" s="19"/>
      <c r="T33" s="19"/>
      <c r="U33" s="19"/>
      <c r="V33" s="19"/>
      <c r="W33" s="19"/>
    </row>
    <row r="34" spans="1:23" s="13" customFormat="1" ht="10.199999999999999">
      <c r="A34" s="128" t="s">
        <v>126</v>
      </c>
      <c r="B34" s="138"/>
      <c r="C34" s="130"/>
      <c r="D34" s="138"/>
      <c r="E34" s="138">
        <v>1</v>
      </c>
      <c r="F34" s="130">
        <f t="shared" si="3"/>
        <v>-0.5</v>
      </c>
      <c r="G34" s="138">
        <v>2</v>
      </c>
      <c r="H34" s="138">
        <v>5</v>
      </c>
      <c r="I34" s="151">
        <f t="shared" si="2"/>
        <v>-0.16666666666666663</v>
      </c>
      <c r="J34" s="138">
        <v>6</v>
      </c>
      <c r="K34" s="130"/>
      <c r="L34" s="139"/>
      <c r="M34" s="130"/>
      <c r="N34" s="138"/>
      <c r="O34" s="19"/>
      <c r="P34" s="19"/>
      <c r="Q34" s="19"/>
      <c r="R34" s="19"/>
      <c r="S34" s="19"/>
      <c r="T34" s="19"/>
      <c r="U34" s="19"/>
      <c r="V34" s="19"/>
      <c r="W34" s="19"/>
    </row>
    <row r="35" spans="1:23" s="13" customFormat="1" ht="10.199999999999999">
      <c r="A35" s="136" t="s">
        <v>105</v>
      </c>
      <c r="B35" s="140"/>
      <c r="C35" s="130"/>
      <c r="D35" s="140"/>
      <c r="E35" s="140">
        <f>E13</f>
        <v>16481</v>
      </c>
      <c r="F35" s="130">
        <f t="shared" si="3"/>
        <v>3.0964594019767366E-2</v>
      </c>
      <c r="G35" s="140">
        <f>G13</f>
        <v>15986</v>
      </c>
      <c r="H35" s="140">
        <f>H13</f>
        <v>16948</v>
      </c>
      <c r="I35" s="151">
        <f t="shared" si="2"/>
        <v>5.3390515258872506E-2</v>
      </c>
      <c r="J35" s="140">
        <f>J13</f>
        <v>16089</v>
      </c>
      <c r="K35" s="130"/>
      <c r="L35" s="141"/>
      <c r="M35" s="130"/>
      <c r="N35" s="138"/>
      <c r="O35" s="19"/>
      <c r="P35" s="19"/>
      <c r="Q35" s="19"/>
      <c r="R35" s="19"/>
      <c r="S35" s="19"/>
      <c r="T35" s="19"/>
      <c r="U35" s="19"/>
      <c r="V35" s="19"/>
      <c r="W35" s="19"/>
    </row>
    <row r="36" spans="1:23" s="13" customFormat="1" ht="10.199999999999999">
      <c r="A36" s="136" t="s">
        <v>106</v>
      </c>
      <c r="B36" s="140"/>
      <c r="C36" s="130"/>
      <c r="D36" s="140"/>
      <c r="E36" s="140">
        <f>E14</f>
        <v>113</v>
      </c>
      <c r="F36" s="130">
        <f t="shared" si="3"/>
        <v>-2.5862068965517238E-2</v>
      </c>
      <c r="G36" s="140">
        <f>G14</f>
        <v>116</v>
      </c>
      <c r="H36" s="140">
        <f>H14</f>
        <v>111</v>
      </c>
      <c r="I36" s="151">
        <f t="shared" si="2"/>
        <v>-1.7699115044247815E-2</v>
      </c>
      <c r="J36" s="140">
        <f>J14</f>
        <v>113</v>
      </c>
      <c r="K36" s="130"/>
      <c r="L36" s="141"/>
      <c r="M36" s="130"/>
      <c r="N36" s="138"/>
      <c r="O36" s="19"/>
      <c r="P36" s="19"/>
      <c r="Q36" s="19"/>
      <c r="R36" s="19"/>
      <c r="S36" s="19"/>
      <c r="T36" s="19"/>
      <c r="U36" s="19"/>
      <c r="V36" s="19"/>
      <c r="W36" s="19"/>
    </row>
    <row r="37" spans="1:23" s="4" customFormat="1" ht="10.199999999999999">
      <c r="A37" s="136" t="s">
        <v>127</v>
      </c>
      <c r="B37" s="134"/>
      <c r="C37" s="130"/>
      <c r="D37" s="134"/>
      <c r="E37" s="134">
        <f>E15+E16+E17+E18+E19+E20+E21+E22+E23+E24</f>
        <v>3518</v>
      </c>
      <c r="F37" s="130">
        <f t="shared" si="3"/>
        <v>-5.021598272138228E-2</v>
      </c>
      <c r="G37" s="134">
        <f>G15+G16+G17+G18+G19+G20+G21+G22+G23+G24</f>
        <v>3704</v>
      </c>
      <c r="H37" s="134">
        <f>H15+H16+H17+H18+H19+H20+H21+H22+H23+H24</f>
        <v>3650</v>
      </c>
      <c r="I37" s="151">
        <f t="shared" si="2"/>
        <v>-0.1228070175438597</v>
      </c>
      <c r="J37" s="134">
        <f>J15+J16+J17+J18+J19+J20+J21+J22+J23+J24</f>
        <v>4161</v>
      </c>
      <c r="K37" s="130"/>
      <c r="L37" s="135"/>
      <c r="M37" s="130"/>
      <c r="N37" s="142"/>
      <c r="O37" s="8"/>
      <c r="P37" s="8"/>
      <c r="Q37" s="8"/>
      <c r="R37" s="8"/>
      <c r="S37" s="8"/>
      <c r="T37" s="8"/>
      <c r="U37" s="8"/>
      <c r="V37" s="8"/>
      <c r="W37" s="8"/>
    </row>
    <row r="38" spans="1:23" s="4" customFormat="1" ht="10.199999999999999">
      <c r="A38" s="136" t="s">
        <v>128</v>
      </c>
      <c r="B38" s="134"/>
      <c r="C38" s="130"/>
      <c r="D38" s="134"/>
      <c r="E38" s="134">
        <f>E25+E26+E27+E28+E29+E30</f>
        <v>1860</v>
      </c>
      <c r="F38" s="130">
        <f t="shared" si="3"/>
        <v>-0.1197349739706578</v>
      </c>
      <c r="G38" s="134">
        <f>G25+G26+G27+G28+G29+G30</f>
        <v>2113</v>
      </c>
      <c r="H38" s="134">
        <f>H25+H26+H27+H28+H29+H30</f>
        <v>2109</v>
      </c>
      <c r="I38" s="151">
        <f t="shared" si="2"/>
        <v>-1.5865608959402699E-2</v>
      </c>
      <c r="J38" s="134">
        <f>J25+J26+J27+J28+J29+J30</f>
        <v>2143</v>
      </c>
      <c r="K38" s="130"/>
      <c r="L38" s="135"/>
      <c r="M38" s="130"/>
      <c r="N38" s="142"/>
      <c r="O38" s="8"/>
      <c r="P38" s="8"/>
      <c r="Q38" s="8"/>
      <c r="R38" s="8"/>
      <c r="S38" s="8"/>
      <c r="T38" s="8"/>
      <c r="U38" s="8"/>
      <c r="V38" s="8"/>
      <c r="W38" s="8"/>
    </row>
    <row r="39" spans="1:23" s="13" customFormat="1" ht="10.199999999999999">
      <c r="A39" s="136" t="s">
        <v>129</v>
      </c>
      <c r="B39" s="134"/>
      <c r="C39" s="130"/>
      <c r="D39" s="134"/>
      <c r="E39" s="134">
        <f>E31+E32+E33+E34</f>
        <v>271</v>
      </c>
      <c r="F39" s="130">
        <f t="shared" si="3"/>
        <v>-0.14779874213836475</v>
      </c>
      <c r="G39" s="134">
        <f>G31+G32+G33+G34</f>
        <v>318</v>
      </c>
      <c r="H39" s="134">
        <f>H31+H32+H33+H34</f>
        <v>305</v>
      </c>
      <c r="I39" s="151">
        <f t="shared" si="2"/>
        <v>0.61375661375661372</v>
      </c>
      <c r="J39" s="134">
        <f>J31+J32+J33+J34</f>
        <v>189</v>
      </c>
      <c r="K39" s="130"/>
      <c r="L39" s="135"/>
      <c r="M39" s="130"/>
      <c r="N39" s="142"/>
      <c r="O39" s="19"/>
      <c r="P39" s="19"/>
      <c r="Q39" s="19"/>
      <c r="R39" s="19"/>
      <c r="S39" s="19"/>
      <c r="T39" s="19"/>
      <c r="U39" s="19"/>
      <c r="V39" s="19"/>
      <c r="W39" s="19"/>
    </row>
    <row r="40" spans="1:23" s="4" customFormat="1" ht="10.199999999999999">
      <c r="A40" s="126" t="s">
        <v>130</v>
      </c>
      <c r="B40" s="143"/>
      <c r="C40" s="119"/>
      <c r="D40" s="143"/>
      <c r="E40" s="143">
        <f>SUM(E35:E39)</f>
        <v>22243</v>
      </c>
      <c r="F40" s="119">
        <f t="shared" si="3"/>
        <v>2.6982056932145504E-4</v>
      </c>
      <c r="G40" s="143">
        <f>SUM(G35:G39)</f>
        <v>22237</v>
      </c>
      <c r="H40" s="143">
        <f>SUM(H35:H39)</f>
        <v>23123</v>
      </c>
      <c r="I40" s="297">
        <f t="shared" ref="I40" si="4">IF((+H40/J40)&lt;0,"n.m.",IF(H40&lt;0,(+H40/J40-1)*-1,(+H40/J40-1)))</f>
        <v>1.885877946684289E-2</v>
      </c>
      <c r="J40" s="143">
        <f>SUM(J35:J39)</f>
        <v>22695</v>
      </c>
      <c r="K40" s="119">
        <f>(J40-L40)/L40</f>
        <v>-9.6104827146726149E-2</v>
      </c>
      <c r="L40" s="144">
        <v>25108</v>
      </c>
      <c r="M40" s="119">
        <f>(L40-N40)/N40</f>
        <v>-3.2894230028503196E-2</v>
      </c>
      <c r="N40" s="144">
        <v>25962</v>
      </c>
      <c r="O40" s="8"/>
      <c r="P40" s="8"/>
      <c r="Q40" s="8"/>
      <c r="R40" s="8"/>
      <c r="S40" s="8"/>
      <c r="T40" s="8"/>
      <c r="U40" s="8"/>
      <c r="V40" s="8"/>
      <c r="W40" s="8"/>
    </row>
    <row r="41" spans="1:23" s="149" customFormat="1" ht="10.199999999999999">
      <c r="A41" s="145" t="s">
        <v>140</v>
      </c>
      <c r="B41" s="146"/>
      <c r="C41" s="130"/>
      <c r="D41" s="146"/>
      <c r="E41" s="146">
        <f>E40/Group!E152</f>
        <v>0.30538050715982262</v>
      </c>
      <c r="F41" s="130"/>
      <c r="G41" s="146">
        <f>G40/Group!G152</f>
        <v>0.31225163238081866</v>
      </c>
      <c r="H41" s="146">
        <f>H40/Group!H152</f>
        <v>0.31716182481551586</v>
      </c>
      <c r="I41" s="147"/>
      <c r="J41" s="146">
        <f>J40/Group!J152</f>
        <v>0.31046511627906975</v>
      </c>
      <c r="K41" s="147"/>
      <c r="L41" s="147">
        <f>L40/Group!L152</f>
        <v>0.33925145250641803</v>
      </c>
      <c r="M41" s="147"/>
      <c r="N41" s="147">
        <f>N40/Group!N152</f>
        <v>0.33775661540863322</v>
      </c>
      <c r="O41" s="148"/>
      <c r="P41" s="148"/>
      <c r="Q41" s="148"/>
      <c r="R41" s="148"/>
      <c r="S41" s="148"/>
      <c r="T41" s="148"/>
      <c r="U41" s="148"/>
      <c r="V41" s="148"/>
      <c r="W41" s="148"/>
    </row>
    <row r="42" spans="1:23" ht="12" customHeight="1">
      <c r="A42" s="122"/>
      <c r="B42" s="125"/>
      <c r="C42" s="130"/>
      <c r="D42" s="125"/>
      <c r="E42" s="125"/>
      <c r="F42" s="130"/>
      <c r="G42" s="125"/>
      <c r="H42" s="125"/>
      <c r="I42" s="124"/>
      <c r="J42" s="125"/>
      <c r="K42" s="124"/>
      <c r="L42" s="125"/>
      <c r="M42" s="120"/>
      <c r="N42" s="125"/>
    </row>
    <row r="43" spans="1:23" s="121" customFormat="1" ht="12" customHeight="1">
      <c r="A43" s="126" t="s">
        <v>4</v>
      </c>
      <c r="B43" s="127"/>
      <c r="C43" s="130"/>
      <c r="D43" s="127"/>
      <c r="E43" s="127"/>
      <c r="F43" s="130"/>
      <c r="G43" s="127"/>
      <c r="H43" s="127"/>
      <c r="I43" s="124"/>
      <c r="J43" s="127"/>
      <c r="K43" s="124"/>
      <c r="L43" s="127"/>
      <c r="M43" s="120"/>
      <c r="N43" s="127"/>
    </row>
    <row r="44" spans="1:23" s="4" customFormat="1" ht="10.199999999999999">
      <c r="A44" s="128" t="s">
        <v>105</v>
      </c>
      <c r="B44" s="150"/>
      <c r="C44" s="130"/>
      <c r="D44" s="150"/>
      <c r="E44" s="150">
        <v>1996.86</v>
      </c>
      <c r="F44" s="130">
        <f t="shared" ref="F44:F59" si="5">IF((+E44/G44)&lt;0,"n.m.",IF(E44&lt;0,(+E44/G44-1)*-1,(+E44/G44-1)))</f>
        <v>4.352052174458354E-2</v>
      </c>
      <c r="G44" s="150">
        <v>1913.58</v>
      </c>
      <c r="H44" s="150">
        <v>4650.78</v>
      </c>
      <c r="I44" s="151">
        <f t="shared" ref="I44:I70" si="6">IF((+H44/J44)&lt;0,"n.m.",IF(H44&lt;0,(+H44/J44-1)*-1,(+H44/J44-1)))</f>
        <v>8.9494582723279592E-2</v>
      </c>
      <c r="J44" s="150">
        <v>4268.75</v>
      </c>
      <c r="K44" s="130"/>
      <c r="L44" s="302"/>
      <c r="M44" s="130"/>
      <c r="N44" s="132"/>
      <c r="O44" s="10"/>
      <c r="P44" s="8"/>
      <c r="Q44" s="8"/>
      <c r="R44" s="8"/>
      <c r="S44" s="8"/>
      <c r="T44" s="8"/>
      <c r="U44" s="8"/>
      <c r="V44" s="8"/>
      <c r="W44" s="8"/>
    </row>
    <row r="45" spans="1:23" s="4" customFormat="1" ht="10.199999999999999">
      <c r="A45" s="128" t="s">
        <v>106</v>
      </c>
      <c r="B45" s="150"/>
      <c r="C45" s="130"/>
      <c r="D45" s="150"/>
      <c r="E45" s="150">
        <v>8.7200000000000006</v>
      </c>
      <c r="F45" s="130">
        <f t="shared" si="5"/>
        <v>-0.21441441441441433</v>
      </c>
      <c r="G45" s="150">
        <v>11.1</v>
      </c>
      <c r="H45" s="150">
        <v>20.18</v>
      </c>
      <c r="I45" s="151">
        <f t="shared" si="6"/>
        <v>-3.4911525585844094E-2</v>
      </c>
      <c r="J45" s="150">
        <v>20.91</v>
      </c>
      <c r="K45" s="130"/>
      <c r="L45" s="302"/>
      <c r="M45" s="130"/>
      <c r="N45" s="132"/>
      <c r="O45" s="8"/>
      <c r="P45" s="8"/>
      <c r="Q45" s="8"/>
      <c r="R45" s="8"/>
      <c r="S45" s="8"/>
      <c r="T45" s="8"/>
      <c r="U45" s="8"/>
      <c r="V45" s="8"/>
      <c r="W45" s="8"/>
    </row>
    <row r="46" spans="1:23" s="4" customFormat="1" ht="10.199999999999999">
      <c r="A46" s="128" t="s">
        <v>107</v>
      </c>
      <c r="B46" s="150"/>
      <c r="C46" s="130"/>
      <c r="D46" s="150"/>
      <c r="E46" s="150">
        <v>329.24</v>
      </c>
      <c r="F46" s="130">
        <f t="shared" si="5"/>
        <v>0.2838870690999844</v>
      </c>
      <c r="G46" s="150">
        <v>256.44</v>
      </c>
      <c r="H46" s="150">
        <v>693.27</v>
      </c>
      <c r="I46" s="151">
        <f t="shared" si="6"/>
        <v>3.6309007743131172E-2</v>
      </c>
      <c r="J46" s="150">
        <v>668.98</v>
      </c>
      <c r="K46" s="130"/>
      <c r="L46" s="302"/>
      <c r="M46" s="130"/>
      <c r="N46" s="132"/>
      <c r="O46" s="8"/>
      <c r="P46" s="8"/>
      <c r="Q46" s="8"/>
      <c r="R46" s="8"/>
      <c r="S46" s="8"/>
      <c r="T46" s="8"/>
      <c r="U46" s="8"/>
      <c r="V46" s="8"/>
      <c r="W46" s="8"/>
    </row>
    <row r="47" spans="1:23" s="4" customFormat="1" ht="10.199999999999999">
      <c r="A47" s="128" t="s">
        <v>108</v>
      </c>
      <c r="B47" s="150"/>
      <c r="C47" s="130"/>
      <c r="D47" s="150"/>
      <c r="E47" s="150">
        <v>0.18</v>
      </c>
      <c r="F47" s="130"/>
      <c r="G47" s="150">
        <v>0</v>
      </c>
      <c r="H47" s="150">
        <v>0</v>
      </c>
      <c r="I47" s="151">
        <f t="shared" si="6"/>
        <v>-1</v>
      </c>
      <c r="J47" s="150">
        <v>0.01</v>
      </c>
      <c r="K47" s="130"/>
      <c r="L47" s="302"/>
      <c r="M47" s="130"/>
      <c r="N47" s="132"/>
      <c r="O47" s="8"/>
      <c r="P47" s="8"/>
      <c r="Q47" s="8"/>
      <c r="R47" s="8"/>
      <c r="S47" s="8"/>
      <c r="T47" s="8"/>
      <c r="U47" s="8"/>
      <c r="V47" s="8"/>
      <c r="W47" s="8"/>
    </row>
    <row r="48" spans="1:23" s="13" customFormat="1" ht="10.199999999999999">
      <c r="A48" s="128" t="s">
        <v>109</v>
      </c>
      <c r="B48" s="150"/>
      <c r="C48" s="130"/>
      <c r="D48" s="150"/>
      <c r="E48" s="150">
        <v>0.46</v>
      </c>
      <c r="F48" s="130">
        <f t="shared" si="5"/>
        <v>45</v>
      </c>
      <c r="G48" s="150">
        <v>0.01</v>
      </c>
      <c r="H48" s="150">
        <v>0.1</v>
      </c>
      <c r="I48" s="151">
        <f t="shared" si="6"/>
        <v>-0.96598639455782309</v>
      </c>
      <c r="J48" s="150">
        <v>2.94</v>
      </c>
      <c r="K48" s="130"/>
      <c r="L48" s="302"/>
      <c r="M48" s="130"/>
      <c r="N48" s="132"/>
      <c r="O48" s="19"/>
      <c r="P48" s="19"/>
      <c r="Q48" s="19"/>
      <c r="R48" s="19"/>
      <c r="S48" s="19"/>
      <c r="T48" s="19"/>
      <c r="U48" s="19"/>
      <c r="V48" s="19"/>
      <c r="W48" s="19"/>
    </row>
    <row r="49" spans="1:23" s="13" customFormat="1" ht="10.199999999999999">
      <c r="A49" s="128" t="s">
        <v>110</v>
      </c>
      <c r="B49" s="150"/>
      <c r="C49" s="130"/>
      <c r="D49" s="150"/>
      <c r="E49" s="150">
        <v>16.809999999999999</v>
      </c>
      <c r="F49" s="130">
        <f t="shared" si="5"/>
        <v>-0.66265302026891426</v>
      </c>
      <c r="G49" s="150">
        <v>49.83</v>
      </c>
      <c r="H49" s="150">
        <v>85.66</v>
      </c>
      <c r="I49" s="151">
        <f t="shared" si="6"/>
        <v>-0.39135995452607653</v>
      </c>
      <c r="J49" s="150">
        <v>140.74</v>
      </c>
      <c r="K49" s="130"/>
      <c r="L49" s="302"/>
      <c r="M49" s="130"/>
      <c r="N49" s="132"/>
      <c r="O49" s="19"/>
      <c r="P49" s="19"/>
      <c r="Q49" s="19"/>
      <c r="R49" s="19"/>
      <c r="S49" s="19"/>
      <c r="T49" s="19"/>
      <c r="U49" s="19"/>
      <c r="V49" s="19"/>
      <c r="W49" s="19"/>
    </row>
    <row r="50" spans="1:23" s="13" customFormat="1" ht="10.199999999999999">
      <c r="A50" s="128" t="s">
        <v>111</v>
      </c>
      <c r="B50" s="150"/>
      <c r="C50" s="130"/>
      <c r="D50" s="150"/>
      <c r="E50" s="150">
        <v>0</v>
      </c>
      <c r="F50" s="130"/>
      <c r="G50" s="150">
        <v>0</v>
      </c>
      <c r="H50" s="150">
        <v>0</v>
      </c>
      <c r="I50" s="151"/>
      <c r="J50" s="150">
        <v>0</v>
      </c>
      <c r="K50" s="130"/>
      <c r="L50" s="302"/>
      <c r="M50" s="130"/>
      <c r="N50" s="132"/>
      <c r="O50" s="19"/>
      <c r="P50" s="19"/>
      <c r="Q50" s="19"/>
      <c r="R50" s="19"/>
      <c r="S50" s="19"/>
      <c r="T50" s="19"/>
      <c r="U50" s="19"/>
      <c r="V50" s="19"/>
      <c r="W50" s="19"/>
    </row>
    <row r="51" spans="1:23" s="13" customFormat="1" ht="10.199999999999999">
      <c r="A51" s="128" t="s">
        <v>112</v>
      </c>
      <c r="B51" s="150"/>
      <c r="C51" s="130"/>
      <c r="D51" s="150"/>
      <c r="E51" s="150">
        <v>3.4</v>
      </c>
      <c r="F51" s="130">
        <f t="shared" si="5"/>
        <v>0.24999999999999978</v>
      </c>
      <c r="G51" s="150">
        <v>2.72</v>
      </c>
      <c r="H51" s="150">
        <v>5.86</v>
      </c>
      <c r="I51" s="151">
        <f t="shared" si="6"/>
        <v>0.36279069767441863</v>
      </c>
      <c r="J51" s="150">
        <v>4.3</v>
      </c>
      <c r="K51" s="130"/>
      <c r="L51" s="302"/>
      <c r="M51" s="130"/>
      <c r="N51" s="132"/>
      <c r="O51" s="19"/>
      <c r="P51" s="19"/>
      <c r="Q51" s="19"/>
      <c r="R51" s="19"/>
      <c r="S51" s="19"/>
      <c r="T51" s="19"/>
      <c r="U51" s="19"/>
      <c r="V51" s="19"/>
      <c r="W51" s="19"/>
    </row>
    <row r="52" spans="1:23" s="13" customFormat="1" ht="10.199999999999999">
      <c r="A52" s="128" t="s">
        <v>113</v>
      </c>
      <c r="B52" s="150"/>
      <c r="C52" s="130"/>
      <c r="D52" s="150"/>
      <c r="E52" s="150">
        <v>0.15</v>
      </c>
      <c r="F52" s="130"/>
      <c r="G52" s="150">
        <v>0</v>
      </c>
      <c r="H52" s="150">
        <v>0</v>
      </c>
      <c r="I52" s="151"/>
      <c r="J52" s="150">
        <v>0</v>
      </c>
      <c r="K52" s="130"/>
      <c r="L52" s="302"/>
      <c r="M52" s="130"/>
      <c r="N52" s="132"/>
      <c r="O52" s="19"/>
      <c r="P52" s="19"/>
      <c r="Q52" s="19"/>
      <c r="R52" s="19"/>
      <c r="S52" s="19"/>
      <c r="T52" s="19"/>
      <c r="U52" s="19"/>
      <c r="V52" s="19"/>
      <c r="W52" s="19"/>
    </row>
    <row r="53" spans="1:23" s="13" customFormat="1" ht="10.199999999999999">
      <c r="A53" s="128" t="s">
        <v>114</v>
      </c>
      <c r="B53" s="150"/>
      <c r="C53" s="130"/>
      <c r="D53" s="150"/>
      <c r="E53" s="150">
        <v>0</v>
      </c>
      <c r="F53" s="130"/>
      <c r="G53" s="150">
        <v>0</v>
      </c>
      <c r="H53" s="150">
        <v>0</v>
      </c>
      <c r="I53" s="151">
        <f t="shared" si="6"/>
        <v>-1</v>
      </c>
      <c r="J53" s="150">
        <v>10.38</v>
      </c>
      <c r="K53" s="130"/>
      <c r="L53" s="302"/>
      <c r="M53" s="130"/>
      <c r="N53" s="132"/>
      <c r="O53" s="19"/>
      <c r="P53" s="19"/>
      <c r="Q53" s="19"/>
      <c r="R53" s="19"/>
      <c r="S53" s="19"/>
      <c r="T53" s="19"/>
      <c r="U53" s="19"/>
      <c r="V53" s="19"/>
      <c r="W53" s="19"/>
    </row>
    <row r="54" spans="1:23" s="13" customFormat="1" ht="10.199999999999999">
      <c r="A54" s="128" t="s">
        <v>115</v>
      </c>
      <c r="B54" s="150"/>
      <c r="C54" s="130"/>
      <c r="D54" s="150"/>
      <c r="E54" s="150">
        <v>0</v>
      </c>
      <c r="F54" s="130"/>
      <c r="G54" s="150">
        <v>0</v>
      </c>
      <c r="H54" s="150">
        <v>0</v>
      </c>
      <c r="I54" s="151">
        <f t="shared" si="6"/>
        <v>-1</v>
      </c>
      <c r="J54" s="150">
        <v>-0.01</v>
      </c>
      <c r="K54" s="130"/>
      <c r="L54" s="302"/>
      <c r="M54" s="130"/>
      <c r="N54" s="132"/>
      <c r="O54" s="19"/>
      <c r="P54" s="19"/>
      <c r="Q54" s="19"/>
      <c r="R54" s="19"/>
      <c r="S54" s="19"/>
      <c r="T54" s="19"/>
      <c r="U54" s="19"/>
      <c r="V54" s="19"/>
      <c r="W54" s="19"/>
    </row>
    <row r="55" spans="1:23" s="13" customFormat="1" ht="10.199999999999999">
      <c r="A55" s="128" t="s">
        <v>116</v>
      </c>
      <c r="B55" s="150"/>
      <c r="C55" s="130"/>
      <c r="D55" s="150"/>
      <c r="E55" s="150">
        <v>0</v>
      </c>
      <c r="F55" s="130"/>
      <c r="G55" s="150">
        <v>0</v>
      </c>
      <c r="H55" s="150">
        <v>0</v>
      </c>
      <c r="I55" s="151"/>
      <c r="J55" s="150">
        <v>0</v>
      </c>
      <c r="K55" s="130"/>
      <c r="L55" s="302"/>
      <c r="M55" s="130"/>
      <c r="N55" s="132"/>
      <c r="O55" s="19"/>
      <c r="P55" s="19"/>
      <c r="Q55" s="19"/>
      <c r="R55" s="19"/>
      <c r="S55" s="19"/>
      <c r="T55" s="19"/>
      <c r="U55" s="19"/>
      <c r="V55" s="19"/>
      <c r="W55" s="19"/>
    </row>
    <row r="56" spans="1:23" s="13" customFormat="1" ht="10.199999999999999">
      <c r="A56" s="128" t="s">
        <v>117</v>
      </c>
      <c r="B56" s="150"/>
      <c r="C56" s="130"/>
      <c r="D56" s="150"/>
      <c r="E56" s="150">
        <v>12.27</v>
      </c>
      <c r="F56" s="130">
        <f t="shared" si="5"/>
        <v>-3.6135113904163463E-2</v>
      </c>
      <c r="G56" s="150">
        <v>12.73</v>
      </c>
      <c r="H56" s="150">
        <v>28.21</v>
      </c>
      <c r="I56" s="151">
        <f t="shared" si="6"/>
        <v>-0.19857954545454548</v>
      </c>
      <c r="J56" s="150">
        <v>35.200000000000003</v>
      </c>
      <c r="K56" s="130"/>
      <c r="L56" s="302"/>
      <c r="M56" s="130"/>
      <c r="N56" s="132"/>
      <c r="O56" s="19"/>
      <c r="P56" s="19"/>
      <c r="Q56" s="19"/>
      <c r="R56" s="19"/>
      <c r="S56" s="19"/>
      <c r="T56" s="19"/>
      <c r="U56" s="19"/>
      <c r="V56" s="19"/>
      <c r="W56" s="19"/>
    </row>
    <row r="57" spans="1:23" s="13" customFormat="1" ht="10.199999999999999">
      <c r="A57" s="128" t="s">
        <v>118</v>
      </c>
      <c r="B57" s="152"/>
      <c r="C57" s="130"/>
      <c r="D57" s="152"/>
      <c r="E57" s="152">
        <v>104.64</v>
      </c>
      <c r="F57" s="130">
        <f t="shared" si="5"/>
        <v>-0.13762980056040874</v>
      </c>
      <c r="G57" s="152">
        <v>121.34</v>
      </c>
      <c r="H57" s="152">
        <v>256.69</v>
      </c>
      <c r="I57" s="151">
        <f t="shared" si="6"/>
        <v>-0.16699659256855426</v>
      </c>
      <c r="J57" s="152">
        <v>308.14999999999998</v>
      </c>
      <c r="K57" s="130"/>
      <c r="L57" s="303"/>
      <c r="M57" s="130"/>
      <c r="N57" s="136"/>
      <c r="O57" s="19"/>
      <c r="P57" s="19"/>
      <c r="Q57" s="19"/>
      <c r="R57" s="19"/>
      <c r="S57" s="19"/>
      <c r="T57" s="19"/>
      <c r="U57" s="19"/>
      <c r="V57" s="19"/>
      <c r="W57" s="19"/>
    </row>
    <row r="58" spans="1:23" s="13" customFormat="1" ht="10.199999999999999">
      <c r="A58" s="128" t="s">
        <v>119</v>
      </c>
      <c r="B58" s="150"/>
      <c r="C58" s="130"/>
      <c r="D58" s="150"/>
      <c r="E58" s="150">
        <v>115.74</v>
      </c>
      <c r="F58" s="130">
        <f t="shared" si="5"/>
        <v>-0.11357892318296703</v>
      </c>
      <c r="G58" s="150">
        <v>130.57</v>
      </c>
      <c r="H58" s="150">
        <v>245.31</v>
      </c>
      <c r="I58" s="151">
        <f t="shared" si="6"/>
        <v>-0.213144726712856</v>
      </c>
      <c r="J58" s="150">
        <v>311.76</v>
      </c>
      <c r="K58" s="130"/>
      <c r="L58" s="302"/>
      <c r="M58" s="130"/>
      <c r="N58" s="132"/>
      <c r="O58" s="19"/>
      <c r="P58" s="19"/>
      <c r="Q58" s="19"/>
      <c r="R58" s="19"/>
      <c r="S58" s="19"/>
      <c r="T58" s="19"/>
      <c r="U58" s="19"/>
      <c r="V58" s="19"/>
      <c r="W58" s="19"/>
    </row>
    <row r="59" spans="1:23" s="4" customFormat="1" ht="10.199999999999999">
      <c r="A59" s="128" t="s">
        <v>120</v>
      </c>
      <c r="B59" s="150"/>
      <c r="C59" s="130"/>
      <c r="D59" s="150"/>
      <c r="E59" s="150">
        <v>0.23</v>
      </c>
      <c r="F59" s="130">
        <f t="shared" si="5"/>
        <v>-0.80172413793103448</v>
      </c>
      <c r="G59" s="150">
        <v>1.1599999999999999</v>
      </c>
      <c r="H59" s="150">
        <v>2.34</v>
      </c>
      <c r="I59" s="151">
        <f t="shared" si="6"/>
        <v>-0.66475644699140402</v>
      </c>
      <c r="J59" s="150">
        <v>6.98</v>
      </c>
      <c r="K59" s="130"/>
      <c r="L59" s="302"/>
      <c r="M59" s="130"/>
      <c r="N59" s="132"/>
      <c r="O59" s="8"/>
      <c r="P59" s="8"/>
      <c r="Q59" s="8"/>
      <c r="R59" s="8"/>
      <c r="S59" s="8"/>
      <c r="T59" s="8"/>
      <c r="U59" s="8"/>
      <c r="V59" s="8"/>
      <c r="W59" s="8"/>
    </row>
    <row r="60" spans="1:23" s="13" customFormat="1" ht="10.199999999999999">
      <c r="A60" s="128" t="s">
        <v>121</v>
      </c>
      <c r="B60" s="150"/>
      <c r="C60" s="130"/>
      <c r="D60" s="150"/>
      <c r="E60" s="150">
        <v>98.57</v>
      </c>
      <c r="F60" s="130">
        <f t="shared" ref="F60:F71" si="7">IF((+E60/G60)&lt;0,"n.m.",IF(E60&lt;0,(+E60/G60-1)*-1,(+E60/G60-1)))</f>
        <v>6.8162115301257042E-2</v>
      </c>
      <c r="G60" s="150">
        <v>92.28</v>
      </c>
      <c r="H60" s="150">
        <v>191.37</v>
      </c>
      <c r="I60" s="151">
        <f t="shared" si="6"/>
        <v>0.28169580068314248</v>
      </c>
      <c r="J60" s="150">
        <v>149.31</v>
      </c>
      <c r="K60" s="130"/>
      <c r="L60" s="302"/>
      <c r="M60" s="130"/>
      <c r="N60" s="132"/>
      <c r="O60" s="19"/>
      <c r="P60" s="19"/>
      <c r="Q60" s="19"/>
      <c r="R60" s="19"/>
      <c r="S60" s="19"/>
      <c r="T60" s="19"/>
      <c r="U60" s="19"/>
      <c r="V60" s="19"/>
      <c r="W60" s="19"/>
    </row>
    <row r="61" spans="1:23" s="13" customFormat="1" ht="10.199999999999999">
      <c r="A61" s="128" t="s">
        <v>122</v>
      </c>
      <c r="B61" s="150"/>
      <c r="C61" s="130"/>
      <c r="D61" s="150"/>
      <c r="E61" s="150">
        <v>23.58</v>
      </c>
      <c r="F61" s="130">
        <f t="shared" si="7"/>
        <v>-0.41546851760039671</v>
      </c>
      <c r="G61" s="150">
        <v>40.340000000000003</v>
      </c>
      <c r="H61" s="150">
        <v>68.58</v>
      </c>
      <c r="I61" s="151">
        <f t="shared" si="6"/>
        <v>-5.3662073966642687E-3</v>
      </c>
      <c r="J61" s="150">
        <v>68.95</v>
      </c>
      <c r="K61" s="130"/>
      <c r="L61" s="302"/>
      <c r="M61" s="130"/>
      <c r="N61" s="132"/>
      <c r="O61" s="19"/>
      <c r="P61" s="19"/>
      <c r="Q61" s="19"/>
      <c r="R61" s="19"/>
      <c r="S61" s="19"/>
      <c r="T61" s="19"/>
      <c r="U61" s="19"/>
      <c r="V61" s="19"/>
      <c r="W61" s="19"/>
    </row>
    <row r="62" spans="1:23" s="13" customFormat="1" ht="10.199999999999999">
      <c r="A62" s="128" t="s">
        <v>123</v>
      </c>
      <c r="B62" s="150"/>
      <c r="C62" s="130"/>
      <c r="D62" s="150"/>
      <c r="E62" s="150">
        <v>7.95</v>
      </c>
      <c r="F62" s="130">
        <f t="shared" si="7"/>
        <v>0.36833046471600706</v>
      </c>
      <c r="G62" s="150">
        <v>5.81</v>
      </c>
      <c r="H62" s="150">
        <v>13.72</v>
      </c>
      <c r="I62" s="151">
        <f t="shared" si="6"/>
        <v>0.97410071942446042</v>
      </c>
      <c r="J62" s="150">
        <v>6.95</v>
      </c>
      <c r="K62" s="130"/>
      <c r="L62" s="302"/>
      <c r="M62" s="130"/>
      <c r="N62" s="132"/>
      <c r="O62" s="19"/>
      <c r="P62" s="19"/>
      <c r="Q62" s="19"/>
      <c r="R62" s="19"/>
      <c r="S62" s="19"/>
      <c r="T62" s="19"/>
      <c r="U62" s="19"/>
      <c r="V62" s="19"/>
      <c r="W62" s="19"/>
    </row>
    <row r="63" spans="1:23" s="13" customFormat="1" ht="10.199999999999999">
      <c r="A63" s="128" t="s">
        <v>124</v>
      </c>
      <c r="B63" s="150"/>
      <c r="C63" s="130"/>
      <c r="D63" s="150"/>
      <c r="E63" s="150">
        <v>23.79</v>
      </c>
      <c r="F63" s="130">
        <f t="shared" si="7"/>
        <v>2.6210045662100452</v>
      </c>
      <c r="G63" s="150">
        <v>6.57</v>
      </c>
      <c r="H63" s="150">
        <v>20.9</v>
      </c>
      <c r="I63" s="151">
        <f t="shared" si="6"/>
        <v>1.2692725298588488</v>
      </c>
      <c r="J63" s="150">
        <v>9.2100000000000009</v>
      </c>
      <c r="K63" s="137"/>
      <c r="L63" s="302"/>
      <c r="M63" s="137"/>
      <c r="N63" s="132"/>
      <c r="O63" s="19"/>
      <c r="P63" s="19"/>
      <c r="Q63" s="19"/>
      <c r="R63" s="19"/>
      <c r="S63" s="19"/>
      <c r="T63" s="19"/>
      <c r="U63" s="19"/>
      <c r="V63" s="19"/>
      <c r="W63" s="19"/>
    </row>
    <row r="64" spans="1:23" s="13" customFormat="1" ht="10.199999999999999">
      <c r="A64" s="128" t="s">
        <v>125</v>
      </c>
      <c r="B64" s="153"/>
      <c r="C64" s="130"/>
      <c r="D64" s="153"/>
      <c r="E64" s="153">
        <v>1.34</v>
      </c>
      <c r="F64" s="130">
        <f t="shared" si="7"/>
        <v>-0.68171021377672214</v>
      </c>
      <c r="G64" s="153">
        <v>4.21</v>
      </c>
      <c r="H64" s="153">
        <v>7.89</v>
      </c>
      <c r="I64" s="151">
        <f t="shared" si="6"/>
        <v>1.9222222222222221</v>
      </c>
      <c r="J64" s="153">
        <v>2.7</v>
      </c>
      <c r="K64" s="130"/>
      <c r="L64" s="304"/>
      <c r="M64" s="130"/>
      <c r="N64" s="138"/>
      <c r="O64" s="19"/>
      <c r="P64" s="19"/>
      <c r="Q64" s="19"/>
      <c r="R64" s="19"/>
      <c r="S64" s="19"/>
      <c r="T64" s="19"/>
      <c r="U64" s="19"/>
      <c r="V64" s="19"/>
      <c r="W64" s="19"/>
    </row>
    <row r="65" spans="1:23" s="13" customFormat="1" ht="10.199999999999999">
      <c r="A65" s="128" t="s">
        <v>126</v>
      </c>
      <c r="B65" s="153"/>
      <c r="C65" s="130"/>
      <c r="D65" s="153"/>
      <c r="E65" s="153">
        <v>0.14000000000000001</v>
      </c>
      <c r="F65" s="130">
        <f t="shared" si="7"/>
        <v>-0.79999999999999993</v>
      </c>
      <c r="G65" s="153">
        <v>0.7</v>
      </c>
      <c r="H65" s="153">
        <v>1.59</v>
      </c>
      <c r="I65" s="151">
        <f t="shared" si="6"/>
        <v>-0.67551020408163265</v>
      </c>
      <c r="J65" s="153">
        <v>4.9000000000000004</v>
      </c>
      <c r="K65" s="130"/>
      <c r="L65" s="304"/>
      <c r="M65" s="130"/>
      <c r="N65" s="138"/>
      <c r="O65" s="19"/>
      <c r="P65" s="19"/>
      <c r="Q65" s="19"/>
      <c r="R65" s="19"/>
      <c r="S65" s="19"/>
      <c r="T65" s="19"/>
      <c r="U65" s="19"/>
      <c r="V65" s="19"/>
      <c r="W65" s="19"/>
    </row>
    <row r="66" spans="1:23" s="13" customFormat="1" ht="10.199999999999999">
      <c r="A66" s="136" t="s">
        <v>105</v>
      </c>
      <c r="B66" s="154"/>
      <c r="C66" s="130"/>
      <c r="D66" s="154"/>
      <c r="E66" s="154">
        <f>E44</f>
        <v>1996.86</v>
      </c>
      <c r="F66" s="130">
        <f t="shared" si="7"/>
        <v>4.352052174458354E-2</v>
      </c>
      <c r="G66" s="154">
        <f>G44</f>
        <v>1913.58</v>
      </c>
      <c r="H66" s="154">
        <f>H44</f>
        <v>4650.78</v>
      </c>
      <c r="I66" s="151">
        <f t="shared" si="6"/>
        <v>8.9494582723279592E-2</v>
      </c>
      <c r="J66" s="154">
        <f>J44</f>
        <v>4268.75</v>
      </c>
      <c r="K66" s="130"/>
      <c r="L66" s="141"/>
      <c r="M66" s="130"/>
      <c r="N66" s="138"/>
      <c r="O66" s="19"/>
      <c r="P66" s="19"/>
      <c r="Q66" s="19"/>
      <c r="R66" s="19"/>
      <c r="S66" s="19"/>
      <c r="T66" s="19"/>
      <c r="U66" s="19"/>
      <c r="V66" s="19"/>
      <c r="W66" s="19"/>
    </row>
    <row r="67" spans="1:23" s="13" customFormat="1" ht="10.199999999999999">
      <c r="A67" s="136" t="s">
        <v>106</v>
      </c>
      <c r="B67" s="154"/>
      <c r="C67" s="130"/>
      <c r="D67" s="154"/>
      <c r="E67" s="154">
        <f>E45</f>
        <v>8.7200000000000006</v>
      </c>
      <c r="F67" s="130">
        <f t="shared" si="7"/>
        <v>-0.21441441441441433</v>
      </c>
      <c r="G67" s="154">
        <f>G45</f>
        <v>11.1</v>
      </c>
      <c r="H67" s="154">
        <f>H45</f>
        <v>20.18</v>
      </c>
      <c r="I67" s="151">
        <f t="shared" si="6"/>
        <v>-3.4911525585844094E-2</v>
      </c>
      <c r="J67" s="154">
        <f>J45</f>
        <v>20.91</v>
      </c>
      <c r="K67" s="130"/>
      <c r="L67" s="141"/>
      <c r="M67" s="130"/>
      <c r="N67" s="138"/>
      <c r="O67" s="19"/>
      <c r="P67" s="19"/>
      <c r="Q67" s="19"/>
      <c r="R67" s="19"/>
      <c r="S67" s="19"/>
      <c r="T67" s="19"/>
      <c r="U67" s="19"/>
      <c r="V67" s="19"/>
      <c r="W67" s="19"/>
    </row>
    <row r="68" spans="1:23" s="4" customFormat="1" ht="10.199999999999999">
      <c r="A68" s="136" t="s">
        <v>127</v>
      </c>
      <c r="B68" s="152"/>
      <c r="C68" s="130"/>
      <c r="D68" s="152"/>
      <c r="E68" s="152">
        <f>E46+E47+E48+E49+E50+E51+E52+E53+E54+E55</f>
        <v>350.23999999999995</v>
      </c>
      <c r="F68" s="130">
        <f t="shared" si="7"/>
        <v>0.13346278317152094</v>
      </c>
      <c r="G68" s="152">
        <f>G46+G47+G48+G49+G50+G51+G52+G53+G54+G55</f>
        <v>309</v>
      </c>
      <c r="H68" s="152">
        <f>H46+H47+H48+H49+H50+H51+H52+H53+H54+H55</f>
        <v>784.89</v>
      </c>
      <c r="I68" s="151">
        <f t="shared" si="6"/>
        <v>-5.1309014431793476E-2</v>
      </c>
      <c r="J68" s="152">
        <f>J46+J47+J48+J49+J50+J51+J52+J53+J54+J55</f>
        <v>827.34</v>
      </c>
      <c r="K68" s="130"/>
      <c r="L68" s="135"/>
      <c r="M68" s="130"/>
      <c r="N68" s="142"/>
      <c r="O68" s="8"/>
      <c r="P68" s="8"/>
      <c r="Q68" s="8"/>
      <c r="R68" s="8"/>
      <c r="S68" s="8"/>
      <c r="T68" s="8"/>
      <c r="U68" s="8"/>
      <c r="V68" s="8"/>
      <c r="W68" s="8"/>
    </row>
    <row r="69" spans="1:23" s="4" customFormat="1" ht="10.199999999999999">
      <c r="A69" s="136" t="s">
        <v>128</v>
      </c>
      <c r="B69" s="152"/>
      <c r="C69" s="130"/>
      <c r="D69" s="152"/>
      <c r="E69" s="152">
        <f>E56+E57+E58+E59+E60+E61</f>
        <v>355.02999999999992</v>
      </c>
      <c r="F69" s="130">
        <f t="shared" si="7"/>
        <v>-0.10890517544300027</v>
      </c>
      <c r="G69" s="152">
        <f>G56+G57+G58+G59+G60+G61</f>
        <v>398.42000000000007</v>
      </c>
      <c r="H69" s="152">
        <f>H56+H57+H58+H59+H60+H61</f>
        <v>792.50000000000011</v>
      </c>
      <c r="I69" s="151">
        <f t="shared" si="6"/>
        <v>-9.9789856307150315E-2</v>
      </c>
      <c r="J69" s="152">
        <f>J56+J57+J58+J59+J60+J61</f>
        <v>880.34999999999991</v>
      </c>
      <c r="K69" s="130"/>
      <c r="L69" s="135"/>
      <c r="M69" s="130"/>
      <c r="N69" s="142"/>
      <c r="O69" s="8"/>
      <c r="P69" s="8"/>
      <c r="Q69" s="8"/>
      <c r="R69" s="8"/>
      <c r="S69" s="8"/>
      <c r="T69" s="8"/>
      <c r="U69" s="8"/>
      <c r="V69" s="8"/>
      <c r="W69" s="8"/>
    </row>
    <row r="70" spans="1:23" s="13" customFormat="1" ht="10.199999999999999">
      <c r="A70" s="136" t="s">
        <v>129</v>
      </c>
      <c r="B70" s="152"/>
      <c r="C70" s="130"/>
      <c r="D70" s="152"/>
      <c r="E70" s="152">
        <f>E62+E63+E64+E65</f>
        <v>33.22</v>
      </c>
      <c r="F70" s="130">
        <f t="shared" si="7"/>
        <v>0.92134181607865817</v>
      </c>
      <c r="G70" s="152">
        <f>G62+G63+G64+G65</f>
        <v>17.29</v>
      </c>
      <c r="H70" s="152">
        <f>H62+H63+H64+H65</f>
        <v>44.1</v>
      </c>
      <c r="I70" s="151">
        <f t="shared" si="6"/>
        <v>0.85606060606060619</v>
      </c>
      <c r="J70" s="152">
        <f>J62+J63+J64+J65</f>
        <v>23.759999999999998</v>
      </c>
      <c r="K70" s="130"/>
      <c r="L70" s="135"/>
      <c r="M70" s="130"/>
      <c r="N70" s="142"/>
      <c r="O70" s="19"/>
      <c r="P70" s="19"/>
      <c r="Q70" s="19"/>
      <c r="R70" s="19"/>
      <c r="S70" s="19"/>
      <c r="T70" s="19"/>
      <c r="U70" s="19"/>
      <c r="V70" s="19"/>
      <c r="W70" s="19"/>
    </row>
    <row r="71" spans="1:23" s="121" customFormat="1" ht="10.199999999999999" customHeight="1">
      <c r="A71" s="126" t="s">
        <v>133</v>
      </c>
      <c r="B71" s="155"/>
      <c r="C71" s="119"/>
      <c r="D71" s="155"/>
      <c r="E71" s="155">
        <f>SUM(E66:E70)</f>
        <v>2744.0699999999993</v>
      </c>
      <c r="F71" s="119">
        <f t="shared" si="7"/>
        <v>3.5736528030980486E-2</v>
      </c>
      <c r="G71" s="155">
        <f>SUM(G66:G70)</f>
        <v>2649.39</v>
      </c>
      <c r="H71" s="155">
        <f>SUM(H66:H70)</f>
        <v>6292.4500000000007</v>
      </c>
      <c r="I71" s="297">
        <f t="shared" ref="I71" si="8">IF((+H71/J71)&lt;0,"n.m.",IF(H71&lt;0,(+H71/J71-1)*-1,(+H71/J71-1)))</f>
        <v>4.5064780414242556E-2</v>
      </c>
      <c r="J71" s="155">
        <f>SUM(J66:J70)</f>
        <v>6021.1100000000006</v>
      </c>
      <c r="K71" s="119">
        <f>(J71-L71)/L71</f>
        <v>-3.4640710450412386E-2</v>
      </c>
      <c r="L71" s="155">
        <v>6237.1699999999992</v>
      </c>
      <c r="M71" s="119">
        <f>(L71-N71)/N71</f>
        <v>-2.5064399954982476E-2</v>
      </c>
      <c r="N71" s="155">
        <v>6397.5199999999986</v>
      </c>
    </row>
    <row r="72" spans="1:23" ht="10.199999999999999" customHeight="1">
      <c r="A72" s="128"/>
      <c r="B72" s="136"/>
      <c r="C72" s="130"/>
      <c r="D72" s="136"/>
      <c r="E72" s="136"/>
      <c r="F72" s="130"/>
      <c r="G72" s="136"/>
      <c r="H72" s="136"/>
      <c r="I72" s="124"/>
      <c r="J72" s="136"/>
      <c r="K72" s="124"/>
      <c r="L72" s="136"/>
      <c r="M72" s="120"/>
      <c r="N72" s="136"/>
    </row>
    <row r="73" spans="1:23" ht="10.199999999999999" customHeight="1">
      <c r="A73" s="156" t="s">
        <v>5</v>
      </c>
      <c r="B73" s="157"/>
      <c r="C73" s="130"/>
      <c r="D73" s="157"/>
      <c r="E73" s="157"/>
      <c r="F73" s="130"/>
      <c r="G73" s="157"/>
      <c r="H73" s="157"/>
      <c r="I73" s="124"/>
      <c r="J73" s="157"/>
      <c r="K73" s="124"/>
      <c r="L73" s="157"/>
      <c r="M73" s="124"/>
      <c r="N73" s="157"/>
    </row>
    <row r="74" spans="1:23" s="4" customFormat="1" ht="10.199999999999999">
      <c r="A74" s="128" t="s">
        <v>105</v>
      </c>
      <c r="B74" s="150"/>
      <c r="C74" s="130"/>
      <c r="D74" s="150"/>
      <c r="E74" s="150">
        <v>3982.94</v>
      </c>
      <c r="F74" s="130">
        <f t="shared" ref="F74:F86" si="9">IF((+E74/G74)&lt;0,"n.m.",IF(E74&lt;0,(+E74/G74-1)*-1,(+E74/G74-1)))</f>
        <v>-6.5120951652199999E-2</v>
      </c>
      <c r="G74" s="150">
        <v>4260.38</v>
      </c>
      <c r="H74" s="150">
        <v>3738.29</v>
      </c>
      <c r="I74" s="151">
        <f t="shared" ref="I74:I100" si="10">IF((+H74/J74)&lt;0,"n.m.",IF(H74&lt;0,(+H74/J74-1)*-1,(+H74/J74-1)))</f>
        <v>-2.9746424770951796E-2</v>
      </c>
      <c r="J74" s="150">
        <v>3852.9</v>
      </c>
      <c r="K74" s="130"/>
      <c r="L74" s="131"/>
      <c r="M74" s="130"/>
      <c r="N74" s="132"/>
      <c r="O74" s="8"/>
      <c r="P74" s="8"/>
      <c r="Q74" s="8"/>
      <c r="R74" s="8"/>
      <c r="S74" s="8"/>
      <c r="T74" s="8"/>
      <c r="U74" s="8"/>
      <c r="V74" s="8"/>
      <c r="W74" s="8"/>
    </row>
    <row r="75" spans="1:23" s="4" customFormat="1" ht="10.199999999999999">
      <c r="A75" s="128" t="s">
        <v>106</v>
      </c>
      <c r="B75" s="150"/>
      <c r="C75" s="130"/>
      <c r="D75" s="150"/>
      <c r="E75" s="150">
        <v>25.46</v>
      </c>
      <c r="F75" s="130">
        <f t="shared" si="9"/>
        <v>4.3041666666666671</v>
      </c>
      <c r="G75" s="150">
        <v>4.8</v>
      </c>
      <c r="H75" s="150">
        <v>4.07</v>
      </c>
      <c r="I75" s="151">
        <f t="shared" si="10"/>
        <v>-0.35804416403785488</v>
      </c>
      <c r="J75" s="150">
        <v>6.34</v>
      </c>
      <c r="K75" s="130"/>
      <c r="L75" s="131"/>
      <c r="M75" s="130"/>
      <c r="N75" s="132"/>
      <c r="O75" s="8"/>
      <c r="P75" s="8"/>
      <c r="Q75" s="8"/>
      <c r="R75" s="8"/>
      <c r="S75" s="8"/>
      <c r="T75" s="8"/>
      <c r="U75" s="8"/>
      <c r="V75" s="8"/>
      <c r="W75" s="8"/>
    </row>
    <row r="76" spans="1:23" s="4" customFormat="1" ht="10.199999999999999">
      <c r="A76" s="128" t="s">
        <v>107</v>
      </c>
      <c r="B76" s="150"/>
      <c r="C76" s="130"/>
      <c r="D76" s="150"/>
      <c r="E76" s="150">
        <v>1009.75</v>
      </c>
      <c r="F76" s="130">
        <f t="shared" si="9"/>
        <v>0.93802541169244957</v>
      </c>
      <c r="G76" s="150">
        <v>521.02</v>
      </c>
      <c r="H76" s="150">
        <v>782.75</v>
      </c>
      <c r="I76" s="151">
        <f t="shared" si="10"/>
        <v>0.47513333207696506</v>
      </c>
      <c r="J76" s="150">
        <v>530.63</v>
      </c>
      <c r="K76" s="130"/>
      <c r="L76" s="131"/>
      <c r="M76" s="130"/>
      <c r="N76" s="132"/>
      <c r="O76" s="8"/>
      <c r="P76" s="8"/>
      <c r="Q76" s="8"/>
      <c r="R76" s="8"/>
      <c r="S76" s="8"/>
      <c r="T76" s="8"/>
      <c r="U76" s="8"/>
      <c r="V76" s="8"/>
      <c r="W76" s="8"/>
    </row>
    <row r="77" spans="1:23" s="4" customFormat="1" ht="10.199999999999999">
      <c r="A77" s="128" t="s">
        <v>108</v>
      </c>
      <c r="B77" s="150"/>
      <c r="C77" s="130"/>
      <c r="D77" s="150"/>
      <c r="E77" s="150">
        <v>0.13</v>
      </c>
      <c r="F77" s="130"/>
      <c r="G77" s="150">
        <v>0</v>
      </c>
      <c r="H77" s="150">
        <v>0</v>
      </c>
      <c r="I77" s="151"/>
      <c r="J77" s="150">
        <v>0</v>
      </c>
      <c r="K77" s="130"/>
      <c r="L77" s="131"/>
      <c r="M77" s="130"/>
      <c r="N77" s="132"/>
      <c r="O77" s="8"/>
      <c r="P77" s="8"/>
      <c r="Q77" s="8"/>
      <c r="R77" s="8"/>
      <c r="S77" s="8"/>
      <c r="T77" s="8"/>
      <c r="U77" s="8"/>
      <c r="V77" s="8"/>
      <c r="W77" s="8"/>
    </row>
    <row r="78" spans="1:23" s="13" customFormat="1" ht="10.199999999999999">
      <c r="A78" s="128" t="s">
        <v>109</v>
      </c>
      <c r="B78" s="150"/>
      <c r="C78" s="130"/>
      <c r="D78" s="150"/>
      <c r="E78" s="150">
        <v>0.24</v>
      </c>
      <c r="F78" s="130"/>
      <c r="G78" s="150">
        <v>0</v>
      </c>
      <c r="H78" s="150">
        <v>0.79</v>
      </c>
      <c r="I78" s="151"/>
      <c r="J78" s="150">
        <v>0</v>
      </c>
      <c r="K78" s="130"/>
      <c r="L78" s="131"/>
      <c r="M78" s="130"/>
      <c r="N78" s="132"/>
      <c r="O78" s="19"/>
      <c r="P78" s="19"/>
      <c r="Q78" s="19"/>
      <c r="R78" s="19"/>
      <c r="S78" s="19"/>
      <c r="T78" s="19"/>
      <c r="U78" s="19"/>
      <c r="V78" s="19"/>
      <c r="W78" s="19"/>
    </row>
    <row r="79" spans="1:23" s="13" customFormat="1" ht="10.199999999999999">
      <c r="A79" s="128" t="s">
        <v>110</v>
      </c>
      <c r="B79" s="150"/>
      <c r="C79" s="130"/>
      <c r="D79" s="150"/>
      <c r="E79" s="150">
        <v>19.84</v>
      </c>
      <c r="F79" s="130">
        <f t="shared" si="9"/>
        <v>-0.68951486697965569</v>
      </c>
      <c r="G79" s="150">
        <v>63.9</v>
      </c>
      <c r="H79" s="150">
        <v>37.369999999999997</v>
      </c>
      <c r="I79" s="151">
        <f t="shared" si="10"/>
        <v>-0.64184397163120566</v>
      </c>
      <c r="J79" s="150">
        <v>104.34</v>
      </c>
      <c r="K79" s="130"/>
      <c r="L79" s="131"/>
      <c r="M79" s="130"/>
      <c r="N79" s="132"/>
      <c r="O79" s="19"/>
      <c r="P79" s="19"/>
      <c r="Q79" s="19"/>
      <c r="R79" s="19"/>
      <c r="S79" s="19"/>
      <c r="T79" s="19"/>
      <c r="U79" s="19"/>
      <c r="V79" s="19"/>
      <c r="W79" s="19"/>
    </row>
    <row r="80" spans="1:23" s="13" customFormat="1" ht="10.199999999999999">
      <c r="A80" s="128" t="s">
        <v>111</v>
      </c>
      <c r="B80" s="150"/>
      <c r="C80" s="130"/>
      <c r="D80" s="150"/>
      <c r="E80" s="150">
        <v>0</v>
      </c>
      <c r="F80" s="130"/>
      <c r="G80" s="150">
        <v>0</v>
      </c>
      <c r="H80" s="150">
        <v>0</v>
      </c>
      <c r="I80" s="151"/>
      <c r="J80" s="150">
        <v>0</v>
      </c>
      <c r="K80" s="130"/>
      <c r="L80" s="131"/>
      <c r="M80" s="130"/>
      <c r="N80" s="132"/>
      <c r="O80" s="19"/>
      <c r="P80" s="19"/>
      <c r="Q80" s="19"/>
      <c r="R80" s="19"/>
      <c r="S80" s="19"/>
      <c r="T80" s="19"/>
      <c r="U80" s="19"/>
      <c r="V80" s="19"/>
      <c r="W80" s="19"/>
    </row>
    <row r="81" spans="1:23" s="13" customFormat="1" ht="10.199999999999999">
      <c r="A81" s="128" t="s">
        <v>112</v>
      </c>
      <c r="B81" s="150"/>
      <c r="C81" s="130"/>
      <c r="D81" s="150"/>
      <c r="E81" s="150">
        <v>1.47</v>
      </c>
      <c r="F81" s="130">
        <f t="shared" si="9"/>
        <v>0.81481481481481466</v>
      </c>
      <c r="G81" s="150">
        <v>0.81</v>
      </c>
      <c r="H81" s="150">
        <v>1.67</v>
      </c>
      <c r="I81" s="151">
        <f t="shared" si="10"/>
        <v>8.8235294117647047</v>
      </c>
      <c r="J81" s="150">
        <v>0.17</v>
      </c>
      <c r="K81" s="130"/>
      <c r="L81" s="131"/>
      <c r="M81" s="130"/>
      <c r="N81" s="132"/>
      <c r="O81" s="19"/>
      <c r="P81" s="19"/>
      <c r="Q81" s="19"/>
      <c r="R81" s="19"/>
      <c r="S81" s="19"/>
      <c r="T81" s="19"/>
      <c r="U81" s="19"/>
      <c r="V81" s="19"/>
      <c r="W81" s="19"/>
    </row>
    <row r="82" spans="1:23" s="13" customFormat="1" ht="10.199999999999999">
      <c r="A82" s="128" t="s">
        <v>113</v>
      </c>
      <c r="B82" s="150"/>
      <c r="C82" s="130"/>
      <c r="D82" s="150"/>
      <c r="E82" s="150">
        <v>0.04</v>
      </c>
      <c r="F82" s="130"/>
      <c r="G82" s="150">
        <v>0</v>
      </c>
      <c r="H82" s="150">
        <v>0</v>
      </c>
      <c r="I82" s="151"/>
      <c r="J82" s="150">
        <v>0</v>
      </c>
      <c r="K82" s="130"/>
      <c r="L82" s="131"/>
      <c r="M82" s="130"/>
      <c r="N82" s="132"/>
      <c r="O82" s="19"/>
      <c r="P82" s="19"/>
      <c r="Q82" s="19"/>
      <c r="R82" s="19"/>
      <c r="S82" s="19"/>
      <c r="T82" s="19"/>
      <c r="U82" s="19"/>
      <c r="V82" s="19"/>
      <c r="W82" s="19"/>
    </row>
    <row r="83" spans="1:23" s="13" customFormat="1" ht="10.199999999999999">
      <c r="A83" s="128" t="s">
        <v>114</v>
      </c>
      <c r="B83" s="150"/>
      <c r="C83" s="130"/>
      <c r="D83" s="150"/>
      <c r="E83" s="150">
        <v>0</v>
      </c>
      <c r="F83" s="130"/>
      <c r="G83" s="150">
        <v>0</v>
      </c>
      <c r="H83" s="150">
        <v>0</v>
      </c>
      <c r="I83" s="151"/>
      <c r="J83" s="150">
        <v>0</v>
      </c>
      <c r="K83" s="130"/>
      <c r="L83" s="131"/>
      <c r="M83" s="130"/>
      <c r="N83" s="132"/>
      <c r="O83" s="19"/>
      <c r="P83" s="19"/>
      <c r="Q83" s="19"/>
      <c r="R83" s="19"/>
      <c r="S83" s="19"/>
      <c r="T83" s="19"/>
      <c r="U83" s="19"/>
      <c r="V83" s="19"/>
      <c r="W83" s="19"/>
    </row>
    <row r="84" spans="1:23" s="13" customFormat="1" ht="10.199999999999999">
      <c r="A84" s="128" t="s">
        <v>115</v>
      </c>
      <c r="B84" s="150"/>
      <c r="C84" s="130"/>
      <c r="D84" s="150"/>
      <c r="E84" s="150">
        <v>0</v>
      </c>
      <c r="F84" s="130"/>
      <c r="G84" s="150">
        <v>0</v>
      </c>
      <c r="H84" s="150">
        <v>0</v>
      </c>
      <c r="I84" s="151"/>
      <c r="J84" s="150">
        <v>0</v>
      </c>
      <c r="K84" s="130"/>
      <c r="L84" s="131"/>
      <c r="M84" s="130"/>
      <c r="N84" s="132"/>
      <c r="O84" s="19"/>
      <c r="P84" s="19"/>
      <c r="Q84" s="19"/>
      <c r="R84" s="19"/>
      <c r="S84" s="19"/>
      <c r="T84" s="19"/>
      <c r="U84" s="19"/>
      <c r="V84" s="19"/>
      <c r="W84" s="19"/>
    </row>
    <row r="85" spans="1:23" s="13" customFormat="1" ht="10.199999999999999">
      <c r="A85" s="128" t="s">
        <v>116</v>
      </c>
      <c r="B85" s="150"/>
      <c r="C85" s="130"/>
      <c r="D85" s="150"/>
      <c r="E85" s="150">
        <v>0</v>
      </c>
      <c r="F85" s="130"/>
      <c r="G85" s="150">
        <v>0</v>
      </c>
      <c r="H85" s="150">
        <v>0</v>
      </c>
      <c r="I85" s="151"/>
      <c r="J85" s="150">
        <v>0</v>
      </c>
      <c r="K85" s="130"/>
      <c r="L85" s="131"/>
      <c r="M85" s="130"/>
      <c r="N85" s="132"/>
      <c r="O85" s="19"/>
      <c r="P85" s="19"/>
      <c r="Q85" s="19"/>
      <c r="R85" s="19"/>
      <c r="S85" s="19"/>
      <c r="T85" s="19"/>
      <c r="U85" s="19"/>
      <c r="V85" s="19"/>
      <c r="W85" s="19"/>
    </row>
    <row r="86" spans="1:23" s="13" customFormat="1" ht="10.199999999999999">
      <c r="A86" s="128" t="s">
        <v>117</v>
      </c>
      <c r="B86" s="150"/>
      <c r="C86" s="130"/>
      <c r="D86" s="150"/>
      <c r="E86" s="150">
        <v>17.45</v>
      </c>
      <c r="F86" s="130">
        <f t="shared" si="9"/>
        <v>0.83298319327731085</v>
      </c>
      <c r="G86" s="150">
        <v>9.52</v>
      </c>
      <c r="H86" s="150">
        <v>9.5499999999999989</v>
      </c>
      <c r="I86" s="151">
        <f t="shared" si="10"/>
        <v>-8.787010506208226E-2</v>
      </c>
      <c r="J86" s="150">
        <v>10.47</v>
      </c>
      <c r="K86" s="130"/>
      <c r="L86" s="131"/>
      <c r="M86" s="130"/>
      <c r="N86" s="132"/>
      <c r="O86" s="19"/>
      <c r="P86" s="19"/>
      <c r="Q86" s="19"/>
      <c r="R86" s="19"/>
      <c r="S86" s="19"/>
      <c r="T86" s="19"/>
      <c r="U86" s="19"/>
      <c r="V86" s="19"/>
      <c r="W86" s="19"/>
    </row>
    <row r="87" spans="1:23" s="13" customFormat="1" ht="10.199999999999999">
      <c r="A87" s="128" t="s">
        <v>118</v>
      </c>
      <c r="B87" s="152"/>
      <c r="C87" s="130"/>
      <c r="D87" s="152"/>
      <c r="E87" s="152">
        <v>270.17</v>
      </c>
      <c r="F87" s="130">
        <f t="shared" ref="F87:F101" si="11">IF((+E87/G87)&lt;0,"n.m.",IF(E87&lt;0,(+E87/G87-1)*-1,(+E87/G87-1)))</f>
        <v>7.3892996263613897E-2</v>
      </c>
      <c r="G87" s="152">
        <v>251.58</v>
      </c>
      <c r="H87" s="152">
        <v>329.11</v>
      </c>
      <c r="I87" s="151">
        <f t="shared" si="10"/>
        <v>0.14409372175484947</v>
      </c>
      <c r="J87" s="152">
        <v>287.66000000000003</v>
      </c>
      <c r="K87" s="130"/>
      <c r="L87" s="135"/>
      <c r="M87" s="130"/>
      <c r="N87" s="136"/>
      <c r="O87" s="19"/>
      <c r="P87" s="19"/>
      <c r="Q87" s="19"/>
      <c r="R87" s="19"/>
      <c r="S87" s="19"/>
      <c r="T87" s="19"/>
      <c r="U87" s="19"/>
      <c r="V87" s="19"/>
      <c r="W87" s="19"/>
    </row>
    <row r="88" spans="1:23" s="13" customFormat="1" ht="10.199999999999999">
      <c r="A88" s="128" t="s">
        <v>119</v>
      </c>
      <c r="B88" s="150"/>
      <c r="C88" s="130"/>
      <c r="D88" s="150"/>
      <c r="E88" s="150">
        <v>237.82</v>
      </c>
      <c r="F88" s="130">
        <f t="shared" si="11"/>
        <v>-0.3419843948868353</v>
      </c>
      <c r="G88" s="150">
        <v>361.42</v>
      </c>
      <c r="H88" s="150">
        <v>306.89999999999998</v>
      </c>
      <c r="I88" s="151">
        <f t="shared" si="10"/>
        <v>0.14195348837209298</v>
      </c>
      <c r="J88" s="150">
        <v>268.75</v>
      </c>
      <c r="K88" s="130"/>
      <c r="L88" s="131"/>
      <c r="M88" s="130"/>
      <c r="N88" s="132"/>
      <c r="O88" s="19"/>
      <c r="P88" s="19"/>
      <c r="Q88" s="19"/>
      <c r="R88" s="19"/>
      <c r="S88" s="19"/>
      <c r="T88" s="19"/>
      <c r="U88" s="19"/>
      <c r="V88" s="19"/>
      <c r="W88" s="19"/>
    </row>
    <row r="89" spans="1:23" s="4" customFormat="1" ht="10.199999999999999">
      <c r="A89" s="128" t="s">
        <v>120</v>
      </c>
      <c r="B89" s="150"/>
      <c r="C89" s="130"/>
      <c r="D89" s="150"/>
      <c r="E89" s="150">
        <v>0.02</v>
      </c>
      <c r="F89" s="130">
        <f t="shared" si="11"/>
        <v>-0.99069767441860468</v>
      </c>
      <c r="G89" s="150">
        <v>2.15</v>
      </c>
      <c r="H89" s="150">
        <v>0</v>
      </c>
      <c r="I89" s="151">
        <f t="shared" si="10"/>
        <v>-1</v>
      </c>
      <c r="J89" s="150">
        <v>3.11</v>
      </c>
      <c r="K89" s="130"/>
      <c r="L89" s="131"/>
      <c r="M89" s="130"/>
      <c r="N89" s="132"/>
      <c r="O89" s="8"/>
      <c r="P89" s="8"/>
      <c r="Q89" s="8"/>
      <c r="R89" s="8"/>
      <c r="S89" s="8"/>
      <c r="T89" s="8"/>
      <c r="U89" s="8"/>
      <c r="V89" s="8"/>
      <c r="W89" s="8"/>
    </row>
    <row r="90" spans="1:23" s="13" customFormat="1" ht="10.199999999999999">
      <c r="A90" s="128" t="s">
        <v>121</v>
      </c>
      <c r="B90" s="150"/>
      <c r="C90" s="130"/>
      <c r="D90" s="150"/>
      <c r="E90" s="150">
        <v>376.76</v>
      </c>
      <c r="F90" s="130">
        <f t="shared" si="11"/>
        <v>-0.17917211328976035</v>
      </c>
      <c r="G90" s="150">
        <v>459</v>
      </c>
      <c r="H90" s="150">
        <v>433.27</v>
      </c>
      <c r="I90" s="151">
        <f t="shared" si="10"/>
        <v>0.53898341206976164</v>
      </c>
      <c r="J90" s="150">
        <v>281.52999999999997</v>
      </c>
      <c r="K90" s="130"/>
      <c r="L90" s="131"/>
      <c r="M90" s="130"/>
      <c r="N90" s="132"/>
      <c r="O90" s="19"/>
      <c r="P90" s="19"/>
      <c r="Q90" s="19"/>
      <c r="R90" s="19"/>
      <c r="S90" s="19"/>
      <c r="T90" s="19"/>
      <c r="U90" s="19"/>
      <c r="V90" s="19"/>
      <c r="W90" s="19"/>
    </row>
    <row r="91" spans="1:23" s="13" customFormat="1" ht="10.199999999999999">
      <c r="A91" s="128" t="s">
        <v>122</v>
      </c>
      <c r="B91" s="150"/>
      <c r="C91" s="130"/>
      <c r="D91" s="150"/>
      <c r="E91" s="150">
        <v>26.98</v>
      </c>
      <c r="F91" s="130">
        <f t="shared" si="11"/>
        <v>-0.15634771732332708</v>
      </c>
      <c r="G91" s="150">
        <v>31.98</v>
      </c>
      <c r="H91" s="150">
        <v>13.81</v>
      </c>
      <c r="I91" s="151">
        <f t="shared" si="10"/>
        <v>-0.62746155921230107</v>
      </c>
      <c r="J91" s="150">
        <v>37.07</v>
      </c>
      <c r="K91" s="130"/>
      <c r="L91" s="131"/>
      <c r="M91" s="130"/>
      <c r="N91" s="132"/>
      <c r="O91" s="19"/>
      <c r="P91" s="19"/>
      <c r="Q91" s="19"/>
      <c r="R91" s="19"/>
      <c r="S91" s="19"/>
      <c r="T91" s="19"/>
      <c r="U91" s="19"/>
      <c r="V91" s="19"/>
      <c r="W91" s="19"/>
    </row>
    <row r="92" spans="1:23" s="13" customFormat="1" ht="10.199999999999999">
      <c r="A92" s="128" t="s">
        <v>123</v>
      </c>
      <c r="B92" s="150"/>
      <c r="C92" s="130"/>
      <c r="D92" s="150"/>
      <c r="E92" s="150">
        <v>4.72</v>
      </c>
      <c r="F92" s="130">
        <f t="shared" si="11"/>
        <v>-0.32183908045977017</v>
      </c>
      <c r="G92" s="150">
        <v>6.96</v>
      </c>
      <c r="H92" s="150">
        <v>2.19</v>
      </c>
      <c r="I92" s="151">
        <f t="shared" si="10"/>
        <v>-0.81795511221945139</v>
      </c>
      <c r="J92" s="150">
        <v>12.03</v>
      </c>
      <c r="K92" s="130"/>
      <c r="L92" s="131"/>
      <c r="M92" s="130"/>
      <c r="N92" s="132"/>
      <c r="O92" s="19"/>
      <c r="P92" s="19"/>
      <c r="Q92" s="19"/>
      <c r="R92" s="19"/>
      <c r="S92" s="19"/>
      <c r="T92" s="19"/>
      <c r="U92" s="19"/>
      <c r="V92" s="19"/>
      <c r="W92" s="19"/>
    </row>
    <row r="93" spans="1:23" s="13" customFormat="1" ht="10.199999999999999">
      <c r="A93" s="128" t="s">
        <v>124</v>
      </c>
      <c r="B93" s="150"/>
      <c r="C93" s="130"/>
      <c r="D93" s="150"/>
      <c r="E93" s="150">
        <v>1.67</v>
      </c>
      <c r="F93" s="130">
        <f t="shared" si="11"/>
        <v>-0.96767950454809371</v>
      </c>
      <c r="G93" s="150">
        <v>51.67</v>
      </c>
      <c r="H93" s="150">
        <v>22.61</v>
      </c>
      <c r="I93" s="151">
        <f t="shared" si="10"/>
        <v>-0.59588918677390534</v>
      </c>
      <c r="J93" s="150">
        <v>55.95</v>
      </c>
      <c r="K93" s="137"/>
      <c r="L93" s="131"/>
      <c r="M93" s="137"/>
      <c r="N93" s="132"/>
      <c r="O93" s="19"/>
      <c r="P93" s="19"/>
      <c r="Q93" s="19"/>
      <c r="R93" s="19"/>
      <c r="S93" s="19"/>
      <c r="T93" s="19"/>
      <c r="U93" s="19"/>
      <c r="V93" s="19"/>
      <c r="W93" s="19"/>
    </row>
    <row r="94" spans="1:23" s="13" customFormat="1" ht="10.199999999999999">
      <c r="A94" s="128" t="s">
        <v>125</v>
      </c>
      <c r="B94" s="153"/>
      <c r="C94" s="130"/>
      <c r="D94" s="153"/>
      <c r="E94" s="153">
        <v>38.01</v>
      </c>
      <c r="F94" s="130">
        <f t="shared" si="11"/>
        <v>28.238461538461536</v>
      </c>
      <c r="G94" s="153">
        <v>1.3</v>
      </c>
      <c r="H94" s="153">
        <v>0</v>
      </c>
      <c r="I94" s="151"/>
      <c r="J94" s="153">
        <v>0</v>
      </c>
      <c r="K94" s="130"/>
      <c r="L94" s="139"/>
      <c r="M94" s="130"/>
      <c r="N94" s="138"/>
      <c r="O94" s="19"/>
      <c r="P94" s="19"/>
      <c r="Q94" s="19"/>
      <c r="R94" s="19"/>
      <c r="S94" s="19"/>
      <c r="T94" s="19"/>
      <c r="U94" s="19"/>
      <c r="V94" s="19"/>
      <c r="W94" s="19"/>
    </row>
    <row r="95" spans="1:23" s="13" customFormat="1" ht="10.199999999999999">
      <c r="A95" s="128" t="s">
        <v>126</v>
      </c>
      <c r="B95" s="153"/>
      <c r="C95" s="130"/>
      <c r="D95" s="153"/>
      <c r="E95" s="150">
        <v>0</v>
      </c>
      <c r="F95" s="130">
        <f t="shared" si="11"/>
        <v>-1</v>
      </c>
      <c r="G95" s="153">
        <v>0.6</v>
      </c>
      <c r="H95" s="153">
        <v>0</v>
      </c>
      <c r="I95" s="151">
        <f t="shared" si="10"/>
        <v>-1</v>
      </c>
      <c r="J95" s="153">
        <v>0.31</v>
      </c>
      <c r="K95" s="130"/>
      <c r="L95" s="139"/>
      <c r="M95" s="130"/>
      <c r="N95" s="138"/>
      <c r="O95" s="19"/>
      <c r="P95" s="19"/>
      <c r="Q95" s="19"/>
      <c r="R95" s="19"/>
      <c r="S95" s="19"/>
      <c r="T95" s="19"/>
      <c r="U95" s="19"/>
      <c r="V95" s="19"/>
      <c r="W95" s="19"/>
    </row>
    <row r="96" spans="1:23" s="13" customFormat="1" ht="10.199999999999999">
      <c r="A96" s="136" t="s">
        <v>105</v>
      </c>
      <c r="B96" s="154"/>
      <c r="C96" s="130"/>
      <c r="D96" s="154"/>
      <c r="E96" s="154">
        <f>E74</f>
        <v>3982.94</v>
      </c>
      <c r="F96" s="130">
        <f t="shared" si="11"/>
        <v>-6.5120951652199999E-2</v>
      </c>
      <c r="G96" s="154">
        <f>G74</f>
        <v>4260.38</v>
      </c>
      <c r="H96" s="154">
        <f>H74</f>
        <v>3738.29</v>
      </c>
      <c r="I96" s="151">
        <f t="shared" si="10"/>
        <v>-2.9746424770951796E-2</v>
      </c>
      <c r="J96" s="154">
        <f>J74</f>
        <v>3852.9</v>
      </c>
      <c r="K96" s="130"/>
      <c r="L96" s="141"/>
      <c r="M96" s="130"/>
      <c r="N96" s="138"/>
      <c r="O96" s="19"/>
      <c r="P96" s="19"/>
      <c r="Q96" s="19"/>
      <c r="R96" s="19"/>
      <c r="S96" s="19"/>
      <c r="T96" s="19"/>
      <c r="U96" s="19"/>
      <c r="V96" s="19"/>
      <c r="W96" s="19"/>
    </row>
    <row r="97" spans="1:23" s="13" customFormat="1" ht="10.199999999999999">
      <c r="A97" s="136" t="s">
        <v>106</v>
      </c>
      <c r="B97" s="154"/>
      <c r="C97" s="130"/>
      <c r="D97" s="154"/>
      <c r="E97" s="154">
        <f>E75</f>
        <v>25.46</v>
      </c>
      <c r="F97" s="130">
        <f t="shared" si="11"/>
        <v>4.3041666666666671</v>
      </c>
      <c r="G97" s="154">
        <f>G75</f>
        <v>4.8</v>
      </c>
      <c r="H97" s="154">
        <f>H75</f>
        <v>4.07</v>
      </c>
      <c r="I97" s="151">
        <f t="shared" si="10"/>
        <v>-0.35804416403785488</v>
      </c>
      <c r="J97" s="154">
        <f>J75</f>
        <v>6.34</v>
      </c>
      <c r="K97" s="130"/>
      <c r="L97" s="141"/>
      <c r="M97" s="130"/>
      <c r="N97" s="138"/>
      <c r="O97" s="19"/>
      <c r="P97" s="19"/>
      <c r="Q97" s="19"/>
      <c r="R97" s="19"/>
      <c r="S97" s="19"/>
      <c r="T97" s="19"/>
      <c r="U97" s="19"/>
      <c r="V97" s="19"/>
      <c r="W97" s="19"/>
    </row>
    <row r="98" spans="1:23" s="4" customFormat="1" ht="10.199999999999999">
      <c r="A98" s="136" t="s">
        <v>127</v>
      </c>
      <c r="B98" s="152"/>
      <c r="C98" s="130"/>
      <c r="D98" s="152"/>
      <c r="E98" s="152">
        <f>E76+E77+E78+E79+E80+E81+E82+E83+E84+E85</f>
        <v>1031.47</v>
      </c>
      <c r="F98" s="130">
        <f t="shared" si="11"/>
        <v>0.76099909514622821</v>
      </c>
      <c r="G98" s="152">
        <f>G76+G77+G78+G79+G80+G81+G82+G83+G84+G85</f>
        <v>585.7299999999999</v>
      </c>
      <c r="H98" s="152">
        <f>H76+H77+H78+H79+H80+H81+H82+H83+H84+H85</f>
        <v>822.57999999999993</v>
      </c>
      <c r="I98" s="151">
        <f t="shared" si="10"/>
        <v>0.2951160374090751</v>
      </c>
      <c r="J98" s="152">
        <f>J76+J77+J78+J79+J80+J81+J82+J83+J84+J85</f>
        <v>635.14</v>
      </c>
      <c r="K98" s="130"/>
      <c r="L98" s="135"/>
      <c r="M98" s="130"/>
      <c r="N98" s="142"/>
      <c r="O98" s="8"/>
      <c r="P98" s="8"/>
      <c r="Q98" s="8"/>
      <c r="R98" s="8"/>
      <c r="S98" s="8"/>
      <c r="T98" s="8"/>
      <c r="U98" s="8"/>
      <c r="V98" s="8"/>
      <c r="W98" s="8"/>
    </row>
    <row r="99" spans="1:23" s="4" customFormat="1" ht="10.199999999999999">
      <c r="A99" s="136" t="s">
        <v>128</v>
      </c>
      <c r="B99" s="152"/>
      <c r="C99" s="130"/>
      <c r="D99" s="152"/>
      <c r="E99" s="152">
        <f>E86+E87+E88+E89+E90+E91</f>
        <v>929.2</v>
      </c>
      <c r="F99" s="130">
        <f t="shared" si="11"/>
        <v>-0.16712230538251249</v>
      </c>
      <c r="G99" s="152">
        <f>G86+G87+G88+G89+G90+G91</f>
        <v>1115.6500000000001</v>
      </c>
      <c r="H99" s="320">
        <f>H86+H87+H88+H89+H90+H91</f>
        <v>1092.6399999999999</v>
      </c>
      <c r="I99" s="151">
        <f t="shared" si="10"/>
        <v>0.22963346425235454</v>
      </c>
      <c r="J99" s="320">
        <f>J86+J87+J88+J89+J90+J91</f>
        <v>888.59000000000015</v>
      </c>
      <c r="K99" s="130"/>
      <c r="L99" s="135"/>
      <c r="M99" s="130"/>
      <c r="N99" s="142"/>
      <c r="O99" s="8"/>
      <c r="P99" s="8"/>
      <c r="Q99" s="8"/>
      <c r="R99" s="8"/>
      <c r="S99" s="8"/>
      <c r="T99" s="8"/>
      <c r="U99" s="8"/>
      <c r="V99" s="8"/>
      <c r="W99" s="8"/>
    </row>
    <row r="100" spans="1:23" s="13" customFormat="1" ht="10.199999999999999">
      <c r="A100" s="136" t="s">
        <v>129</v>
      </c>
      <c r="B100" s="152"/>
      <c r="C100" s="130"/>
      <c r="D100" s="152"/>
      <c r="E100" s="152">
        <f>E92+E93+E94+E95</f>
        <v>44.4</v>
      </c>
      <c r="F100" s="130">
        <f t="shared" si="11"/>
        <v>-0.26647943168676691</v>
      </c>
      <c r="G100" s="152">
        <f>G92+G93+G94+G95</f>
        <v>60.53</v>
      </c>
      <c r="H100" s="321">
        <f>H92+H93+H94+H95</f>
        <v>24.8</v>
      </c>
      <c r="I100" s="322">
        <f t="shared" si="10"/>
        <v>-0.63684287597012745</v>
      </c>
      <c r="J100" s="321">
        <f>J92+J93+J94+J95</f>
        <v>68.290000000000006</v>
      </c>
      <c r="K100" s="130"/>
      <c r="L100" s="135"/>
      <c r="M100" s="130"/>
      <c r="N100" s="142"/>
      <c r="O100" s="19"/>
      <c r="P100" s="19"/>
      <c r="Q100" s="19"/>
      <c r="R100" s="19"/>
      <c r="S100" s="19"/>
      <c r="T100" s="19"/>
      <c r="U100" s="19"/>
      <c r="V100" s="19"/>
      <c r="W100" s="19"/>
    </row>
    <row r="101" spans="1:23" s="121" customFormat="1" ht="10.199999999999999" customHeight="1">
      <c r="A101" s="117" t="s">
        <v>134</v>
      </c>
      <c r="B101" s="118"/>
      <c r="C101" s="119"/>
      <c r="D101" s="118"/>
      <c r="E101" s="118">
        <f>SUM(E96:E100)</f>
        <v>6013.4699999999993</v>
      </c>
      <c r="F101" s="119">
        <f t="shared" si="11"/>
        <v>-2.2597970164706105E-3</v>
      </c>
      <c r="G101" s="118">
        <f>SUM(G96:G100)</f>
        <v>6027.0899999999992</v>
      </c>
      <c r="H101" s="118">
        <f>SUM(H96:H100)</f>
        <v>5682.38</v>
      </c>
      <c r="I101" s="323">
        <f t="shared" ref="I101" si="12">IF((+H101/J101)&lt;0,"n.m.",IF(H101&lt;0,(+H101/J101-1)*-1,(+H101/J101-1)))</f>
        <v>4.2397537450057365E-2</v>
      </c>
      <c r="J101" s="118">
        <f>SUM(J96:J100)</f>
        <v>5451.26</v>
      </c>
      <c r="K101" s="119">
        <f>(J101-L101)/L101</f>
        <v>0.1294390161026992</v>
      </c>
      <c r="L101" s="118">
        <v>4826.5200000000004</v>
      </c>
      <c r="M101" s="119">
        <f>(L101-N101)/N101</f>
        <v>-1.7406280919051813E-2</v>
      </c>
      <c r="N101" s="118">
        <v>4912.0200000000013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fitToWidth="0" orientation="landscape" r:id="rId1"/>
  <headerFooter alignWithMargins="0">
    <oddHeader>&amp;A</oddHeader>
  </headerFooter>
  <rowBreaks count="2" manualBreakCount="2">
    <brk id="42" max="14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"/>
  <sheetViews>
    <sheetView view="pageBreakPreview" zoomScaleNormal="100" zoomScaleSheetLayoutView="100" workbookViewId="0">
      <pane xSplit="1" ySplit="1" topLeftCell="B2" activePane="bottomRight" state="frozen"/>
      <selection activeCell="B9" sqref="B9"/>
      <selection pane="topRight" activeCell="B9" sqref="B9"/>
      <selection pane="bottomLeft" activeCell="B9" sqref="B9"/>
      <selection pane="bottomRight" activeCell="H16" sqref="H16"/>
    </sheetView>
  </sheetViews>
  <sheetFormatPr baseColWidth="10" defaultColWidth="20.6640625" defaultRowHeight="12" customHeight="1" outlineLevelRow="1"/>
  <cols>
    <col min="1" max="1" width="20.6640625" style="208" customWidth="1"/>
    <col min="2" max="11" width="10.88671875" style="116" customWidth="1"/>
    <col min="12" max="14" width="10.88671875" style="160" customWidth="1"/>
    <col min="15" max="16384" width="20.6640625" style="208"/>
  </cols>
  <sheetData>
    <row r="1" spans="1:24" s="158" customFormat="1" ht="24.75" customHeight="1">
      <c r="A1" s="207" t="s">
        <v>142</v>
      </c>
      <c r="B1" s="2" t="s">
        <v>152</v>
      </c>
      <c r="C1" s="2" t="s">
        <v>153</v>
      </c>
      <c r="D1" s="2" t="s">
        <v>156</v>
      </c>
      <c r="E1" s="2" t="s">
        <v>149</v>
      </c>
      <c r="F1" s="2" t="s">
        <v>150</v>
      </c>
      <c r="G1" s="2" t="s">
        <v>151</v>
      </c>
      <c r="H1" s="2">
        <v>2014</v>
      </c>
      <c r="I1" s="2" t="s">
        <v>1</v>
      </c>
      <c r="J1" s="2">
        <v>2013</v>
      </c>
      <c r="K1" s="2" t="s">
        <v>2</v>
      </c>
      <c r="L1" s="2">
        <v>2012</v>
      </c>
      <c r="M1" s="2" t="s">
        <v>3</v>
      </c>
      <c r="N1" s="2">
        <v>2011</v>
      </c>
    </row>
    <row r="2" spans="1:24" ht="3" hidden="1" customHeight="1" outlineLevel="1"/>
    <row r="3" spans="1:24" s="213" customFormat="1" ht="10.199999999999999" customHeight="1" collapsed="1">
      <c r="A3" s="209" t="s">
        <v>4</v>
      </c>
      <c r="B3" s="210">
        <v>1248.96</v>
      </c>
      <c r="C3" s="211">
        <f>IF((+B3/D3)&lt;0,"n.m.",IF(B3&lt;0,(+B3/D3-1)*-1,(+B3/D3-1)))</f>
        <v>6.3668880940214612E-2</v>
      </c>
      <c r="D3" s="210">
        <v>1174.2</v>
      </c>
      <c r="E3" s="210">
        <f>E71</f>
        <v>1886.7800000000002</v>
      </c>
      <c r="F3" s="211">
        <f>IF((+E3/G3)&lt;0,"n.m.",IF(E3&lt;0,(+E3/G3-1)*-1,(+E3/G3-1)))</f>
        <v>4.8828754711107702E-2</v>
      </c>
      <c r="G3" s="210">
        <f>G71</f>
        <v>1798.94</v>
      </c>
      <c r="H3" s="210">
        <f>H71</f>
        <v>4170.7999999999993</v>
      </c>
      <c r="I3" s="299">
        <f t="shared" ref="I3:I7" si="0">IF((+H3/J3)&lt;0,"n.m.",IF(H3&lt;0,(+H3/J3-1)*-1,(+H3/J3-1)))</f>
        <v>-9.1993660414163347E-2</v>
      </c>
      <c r="J3" s="210">
        <f>J71</f>
        <v>4593.3600000000006</v>
      </c>
      <c r="K3" s="212">
        <f>(J3-L3)/L3</f>
        <v>-3.414400282605845E-2</v>
      </c>
      <c r="L3" s="210">
        <v>4755.74</v>
      </c>
      <c r="M3" s="212">
        <v>-2.5776543202289393E-2</v>
      </c>
      <c r="N3" s="210">
        <v>4881.57</v>
      </c>
    </row>
    <row r="4" spans="1:24" s="213" customFormat="1" ht="10.199999999999999" customHeight="1">
      <c r="A4" s="209" t="s">
        <v>5</v>
      </c>
      <c r="B4" s="210"/>
      <c r="C4" s="211"/>
      <c r="D4" s="210"/>
      <c r="E4" s="210">
        <f>E101</f>
        <v>4140.6000000000004</v>
      </c>
      <c r="F4" s="211">
        <f>IF((+E4/G4)&lt;0,"n.m.",IF(E4&lt;0,(+E4/G4-1)*-1,(+E4/G4-1)))</f>
        <v>-0.17257669042666079</v>
      </c>
      <c r="G4" s="210">
        <f>G101</f>
        <v>5004.2100000000009</v>
      </c>
      <c r="H4" s="210">
        <f>H101</f>
        <v>4142.3099999999995</v>
      </c>
      <c r="I4" s="299">
        <f t="shared" si="0"/>
        <v>8.8511830307871575E-2</v>
      </c>
      <c r="J4" s="210">
        <f>J101</f>
        <v>3805.48</v>
      </c>
      <c r="K4" s="212">
        <f>(J4-L4)/L4</f>
        <v>-0.12034802548241839</v>
      </c>
      <c r="L4" s="210">
        <v>4326.12</v>
      </c>
      <c r="M4" s="212">
        <v>-6.8972864088012842E-2</v>
      </c>
      <c r="N4" s="210">
        <v>4646.6100000000015</v>
      </c>
    </row>
    <row r="5" spans="1:24" s="213" customFormat="1" ht="10.199999999999999" customHeight="1">
      <c r="A5" s="209" t="s">
        <v>6</v>
      </c>
      <c r="B5" s="210">
        <v>1215.52</v>
      </c>
      <c r="C5" s="211">
        <f>IF((+B5/D5)&lt;0,"n.m.",IF(B5&lt;0,(+B5/D5-1)*-1,(+B5/D5-1)))</f>
        <v>8.1875873363417062E-2</v>
      </c>
      <c r="D5" s="210">
        <v>1123.53</v>
      </c>
      <c r="E5" s="210">
        <v>1807.58</v>
      </c>
      <c r="F5" s="211">
        <f>IF((+E5/G5)&lt;0,"n.m.",IF(E5&lt;0,(+E5/G5-1)*-1,(+E5/G5-1)))</f>
        <v>6.6872063649455749E-2</v>
      </c>
      <c r="G5" s="210">
        <v>1694.28</v>
      </c>
      <c r="H5" s="210">
        <v>3996.9630000000002</v>
      </c>
      <c r="I5" s="299">
        <f t="shared" si="0"/>
        <v>-9.6170844964842628E-2</v>
      </c>
      <c r="J5" s="210">
        <v>4422.2550000000001</v>
      </c>
      <c r="K5" s="212">
        <f>(J5-L5)/L5</f>
        <v>-7.7241608119471783E-2</v>
      </c>
      <c r="L5" s="210">
        <v>4792.43</v>
      </c>
      <c r="M5" s="212">
        <v>-1.7294233683360138E-2</v>
      </c>
      <c r="N5" s="210">
        <v>4876.7700000000004</v>
      </c>
    </row>
    <row r="6" spans="1:24" s="213" customFormat="1" ht="10.199999999999999" customHeight="1">
      <c r="A6" s="209" t="s">
        <v>136</v>
      </c>
      <c r="B6" s="210">
        <v>85.57</v>
      </c>
      <c r="C6" s="211">
        <f>IF((+B6/D6)&lt;0,"n.m.",IF(B6&lt;0,(+B6/D6-1)*-1,(+B6/D6-1)))</f>
        <v>0.48352981969486808</v>
      </c>
      <c r="D6" s="210">
        <v>57.68</v>
      </c>
      <c r="E6" s="210">
        <v>28.08</v>
      </c>
      <c r="F6" s="211" t="str">
        <f>IF((+E6/G6)&lt;0,"n.m.",IF(E6&lt;0,(+E6/G6-1)*-1,(+E6/G6-1)))</f>
        <v>n.m.</v>
      </c>
      <c r="G6" s="210">
        <v>-17.22</v>
      </c>
      <c r="H6" s="210">
        <v>168.626</v>
      </c>
      <c r="I6" s="299">
        <f t="shared" si="0"/>
        <v>0.21985907953180828</v>
      </c>
      <c r="J6" s="210">
        <v>138.23400000000001</v>
      </c>
      <c r="K6" s="212">
        <f>(J6-L6)/L6</f>
        <v>-7.1538435705410103E-2</v>
      </c>
      <c r="L6" s="210">
        <v>148.88499999999999</v>
      </c>
      <c r="M6" s="212">
        <f>(L6/N6)-1</f>
        <v>6.2273022396312605E-2</v>
      </c>
      <c r="N6" s="210">
        <v>140.15700000000001</v>
      </c>
    </row>
    <row r="7" spans="1:24" s="213" customFormat="1" ht="10.199999999999999" customHeight="1">
      <c r="A7" s="209" t="s">
        <v>146</v>
      </c>
      <c r="B7" s="210">
        <v>85.57</v>
      </c>
      <c r="C7" s="211">
        <f>IF((+B7/D7)&lt;0,"n.m.",IF(B7&lt;0,(+B7/D7-1)*-1,(+B7/D7-1)))</f>
        <v>0.48352981969486808</v>
      </c>
      <c r="D7" s="210">
        <v>57.68</v>
      </c>
      <c r="E7" s="210">
        <v>28.08</v>
      </c>
      <c r="F7" s="211" t="str">
        <f>IF((+E7/G7)&lt;0,"n.m.",IF(E7&lt;0,(+E7/G7-1)*-1,(+E7/G7-1)))</f>
        <v>n.m.</v>
      </c>
      <c r="G7" s="210">
        <v>-17.22</v>
      </c>
      <c r="H7" s="210">
        <v>168.626</v>
      </c>
      <c r="I7" s="299">
        <f t="shared" si="0"/>
        <v>0.21985907953180828</v>
      </c>
      <c r="J7" s="210">
        <v>138.23400000000001</v>
      </c>
      <c r="K7" s="212">
        <f>(J7-L7)/L7</f>
        <v>-7.1538435705410103E-2</v>
      </c>
      <c r="L7" s="210">
        <v>148.88499999999999</v>
      </c>
      <c r="M7" s="212">
        <f>(L7/N7)-1</f>
        <v>6.2273022396312605E-2</v>
      </c>
      <c r="N7" s="210">
        <v>140.15700000000001</v>
      </c>
    </row>
    <row r="8" spans="1:24" ht="10.199999999999999" customHeight="1">
      <c r="A8" s="214" t="s">
        <v>137</v>
      </c>
      <c r="B8" s="215">
        <f>B6/B5</f>
        <v>7.0397854416216918E-2</v>
      </c>
      <c r="C8" s="212"/>
      <c r="D8" s="215">
        <f>D6/D5</f>
        <v>5.1338193016652871E-2</v>
      </c>
      <c r="E8" s="215">
        <f>E6/E5</f>
        <v>1.5534582148507949E-2</v>
      </c>
      <c r="F8" s="212"/>
      <c r="G8" s="215">
        <f>G6/G5</f>
        <v>-1.0163609320773426E-2</v>
      </c>
      <c r="H8" s="215">
        <f>H6/H5</f>
        <v>4.2188531642649678E-2</v>
      </c>
      <c r="I8" s="215"/>
      <c r="J8" s="215">
        <f>J6/J5</f>
        <v>3.1258713032152149E-2</v>
      </c>
      <c r="K8" s="215"/>
      <c r="L8" s="215">
        <f>L6/L5</f>
        <v>3.106670311303451E-2</v>
      </c>
      <c r="M8" s="215"/>
      <c r="N8" s="215">
        <f>N6/N5</f>
        <v>2.8739719117366617E-2</v>
      </c>
    </row>
    <row r="9" spans="1:24" ht="10.199999999999999" customHeight="1">
      <c r="A9" s="214" t="s">
        <v>138</v>
      </c>
      <c r="B9" s="216">
        <f>B3/Group!B2</f>
        <v>0.33427454213091456</v>
      </c>
      <c r="C9" s="216"/>
      <c r="D9" s="216">
        <f>D3/Group!D2</f>
        <v>0.34175347298017061</v>
      </c>
      <c r="E9" s="216">
        <f>E3/Group!E2</f>
        <v>0.30409030617260879</v>
      </c>
      <c r="F9" s="216"/>
      <c r="G9" s="216">
        <f>G3/Group!G2</f>
        <v>0.31125952712581434</v>
      </c>
      <c r="H9" s="216">
        <f>H3/Group!H185</f>
        <v>0.30744508329647641</v>
      </c>
      <c r="I9" s="216"/>
      <c r="J9" s="216">
        <f>J3/Group!J185</f>
        <v>0.33841717459646198</v>
      </c>
      <c r="K9" s="216"/>
      <c r="L9" s="216">
        <f>L3/Group!L2</f>
        <v>0.33866520444931841</v>
      </c>
      <c r="M9" s="216"/>
      <c r="N9" s="216">
        <f>N3/Group!N2</f>
        <v>0.34075255569477547</v>
      </c>
    </row>
    <row r="10" spans="1:24" ht="10.199999999999999" customHeight="1">
      <c r="A10" s="214" t="s">
        <v>139</v>
      </c>
      <c r="B10" s="216"/>
      <c r="C10" s="216"/>
      <c r="D10" s="216"/>
      <c r="E10" s="216">
        <f>E4/Group!E3</f>
        <v>0.27898928876799606</v>
      </c>
      <c r="F10" s="216"/>
      <c r="G10" s="216">
        <f>G4/Group!G3</f>
        <v>0.3235101315707814</v>
      </c>
      <c r="H10" s="216">
        <f>H4/Group!H215</f>
        <v>0.28759171420160728</v>
      </c>
      <c r="I10" s="216"/>
      <c r="J10" s="216">
        <f>J4/Group!J215</f>
        <v>0.28252193073629067</v>
      </c>
      <c r="K10" s="216"/>
      <c r="L10" s="216">
        <f>L4/Group!L3</f>
        <v>0.32767033309954208</v>
      </c>
      <c r="M10" s="216"/>
      <c r="N10" s="216">
        <f>N4/Group!N3</f>
        <v>0.34795641755279327</v>
      </c>
    </row>
    <row r="11" spans="1:24" ht="10.199999999999999" customHeight="1">
      <c r="A11" s="214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</row>
    <row r="12" spans="1:24" s="213" customFormat="1" ht="10.199999999999999" customHeight="1">
      <c r="A12" s="218" t="s">
        <v>104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</row>
    <row r="13" spans="1:24" s="4" customFormat="1" ht="10.199999999999999">
      <c r="A13" s="220" t="s">
        <v>105</v>
      </c>
      <c r="B13" s="221"/>
      <c r="C13" s="222"/>
      <c r="D13" s="221"/>
      <c r="E13" s="221">
        <v>605</v>
      </c>
      <c r="F13" s="222">
        <f t="shared" ref="F13:F29" si="1">IF((+E13/G13)&lt;0,"n.m.",IF(E13&lt;0,(+E13/G13-1)*-1,(+E13/G13-1)))</f>
        <v>-0.63266545233758342</v>
      </c>
      <c r="G13" s="221">
        <v>1647</v>
      </c>
      <c r="H13" s="221">
        <v>657</v>
      </c>
      <c r="I13" s="240">
        <f>IF((+H13/J13)&lt;0,"n.m.",IF(H13&lt;0,(+H13/J13-1)*-1,(+H13/J13-1)))</f>
        <v>-0.61913043478260876</v>
      </c>
      <c r="J13" s="221">
        <v>1725</v>
      </c>
      <c r="K13" s="222"/>
      <c r="L13" s="223"/>
      <c r="M13" s="222"/>
      <c r="N13" s="224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s="4" customFormat="1" ht="10.199999999999999">
      <c r="A14" s="220" t="s">
        <v>106</v>
      </c>
      <c r="B14" s="221"/>
      <c r="C14" s="222"/>
      <c r="D14" s="221"/>
      <c r="E14" s="221">
        <v>6370</v>
      </c>
      <c r="F14" s="222">
        <f t="shared" si="1"/>
        <v>-5.5596738324684924E-2</v>
      </c>
      <c r="G14" s="221">
        <v>6745</v>
      </c>
      <c r="H14" s="221">
        <v>7146</v>
      </c>
      <c r="I14" s="240">
        <f t="shared" ref="I14:I39" si="2">IF((+H14/J14)&lt;0,"n.m.",IF(H14&lt;0,(+H14/J14-1)*-1,(+H14/J14-1)))</f>
        <v>-2.6165167620605057E-2</v>
      </c>
      <c r="J14" s="221">
        <v>7338</v>
      </c>
      <c r="K14" s="222"/>
      <c r="L14" s="223"/>
      <c r="M14" s="222"/>
      <c r="N14" s="224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s="4" customFormat="1" ht="10.199999999999999">
      <c r="A15" s="220" t="s">
        <v>107</v>
      </c>
      <c r="B15" s="221"/>
      <c r="C15" s="222"/>
      <c r="D15" s="221"/>
      <c r="E15" s="221">
        <v>42</v>
      </c>
      <c r="F15" s="222">
        <f t="shared" si="1"/>
        <v>-0.8046511627906977</v>
      </c>
      <c r="G15" s="221">
        <v>215</v>
      </c>
      <c r="H15" s="221">
        <v>61</v>
      </c>
      <c r="I15" s="240">
        <f t="shared" si="2"/>
        <v>-0.73706896551724133</v>
      </c>
      <c r="J15" s="221">
        <v>232</v>
      </c>
      <c r="K15" s="222"/>
      <c r="L15" s="223"/>
      <c r="M15" s="222"/>
      <c r="N15" s="224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s="4" customFormat="1" ht="10.199999999999999">
      <c r="A16" s="220" t="s">
        <v>108</v>
      </c>
      <c r="B16" s="221"/>
      <c r="C16" s="222"/>
      <c r="D16" s="221"/>
      <c r="E16" s="221">
        <v>2469</v>
      </c>
      <c r="F16" s="222">
        <f t="shared" si="1"/>
        <v>-1.9070321811680557E-2</v>
      </c>
      <c r="G16" s="221">
        <v>2517</v>
      </c>
      <c r="H16" s="221">
        <v>2561</v>
      </c>
      <c r="I16" s="240">
        <f t="shared" si="2"/>
        <v>-6.906579425663395E-2</v>
      </c>
      <c r="J16" s="221">
        <v>2751</v>
      </c>
      <c r="K16" s="222"/>
      <c r="L16" s="223"/>
      <c r="M16" s="222"/>
      <c r="N16" s="224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s="13" customFormat="1" ht="10.199999999999999">
      <c r="A17" s="220" t="s">
        <v>109</v>
      </c>
      <c r="B17" s="221"/>
      <c r="C17" s="222"/>
      <c r="D17" s="221"/>
      <c r="E17" s="221">
        <v>1697</v>
      </c>
      <c r="F17" s="222">
        <f t="shared" si="1"/>
        <v>-4.6920821114369016E-3</v>
      </c>
      <c r="G17" s="221">
        <v>1705</v>
      </c>
      <c r="H17" s="221">
        <v>1692</v>
      </c>
      <c r="I17" s="240">
        <f t="shared" si="2"/>
        <v>6.1480552070263483E-2</v>
      </c>
      <c r="J17" s="221">
        <v>1594</v>
      </c>
      <c r="K17" s="222"/>
      <c r="L17" s="223"/>
      <c r="M17" s="222"/>
      <c r="N17" s="224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s="13" customFormat="1" ht="10.199999999999999">
      <c r="A18" s="220" t="s">
        <v>110</v>
      </c>
      <c r="B18" s="221"/>
      <c r="C18" s="222"/>
      <c r="D18" s="221"/>
      <c r="E18" s="221">
        <v>966</v>
      </c>
      <c r="F18" s="222">
        <f t="shared" si="1"/>
        <v>-0.31827805222300631</v>
      </c>
      <c r="G18" s="221">
        <v>1417</v>
      </c>
      <c r="H18" s="221">
        <v>1293</v>
      </c>
      <c r="I18" s="240">
        <f t="shared" si="2"/>
        <v>-0.31514830508474578</v>
      </c>
      <c r="J18" s="221">
        <v>1888</v>
      </c>
      <c r="K18" s="222"/>
      <c r="L18" s="223"/>
      <c r="M18" s="222"/>
      <c r="N18" s="224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s="13" customFormat="1" ht="10.199999999999999">
      <c r="A19" s="220" t="s">
        <v>111</v>
      </c>
      <c r="B19" s="221"/>
      <c r="C19" s="222"/>
      <c r="D19" s="221"/>
      <c r="E19" s="221">
        <v>1274</v>
      </c>
      <c r="F19" s="222">
        <f t="shared" si="1"/>
        <v>7.8554595443836028E-4</v>
      </c>
      <c r="G19" s="221">
        <v>1273</v>
      </c>
      <c r="H19" s="221">
        <v>1259</v>
      </c>
      <c r="I19" s="240">
        <f t="shared" si="2"/>
        <v>-2.2515527950310532E-2</v>
      </c>
      <c r="J19" s="221">
        <v>1288</v>
      </c>
      <c r="K19" s="222"/>
      <c r="L19" s="223"/>
      <c r="M19" s="222"/>
      <c r="N19" s="224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s="13" customFormat="1" ht="10.199999999999999">
      <c r="A20" s="220" t="s">
        <v>112</v>
      </c>
      <c r="B20" s="221"/>
      <c r="C20" s="222"/>
      <c r="D20" s="221"/>
      <c r="E20" s="221">
        <v>808</v>
      </c>
      <c r="F20" s="222">
        <f t="shared" si="1"/>
        <v>-6.2645011600928058E-2</v>
      </c>
      <c r="G20" s="221">
        <v>862</v>
      </c>
      <c r="H20" s="221">
        <v>814</v>
      </c>
      <c r="I20" s="240">
        <f t="shared" si="2"/>
        <v>-0.1900497512437811</v>
      </c>
      <c r="J20" s="221">
        <v>1005</v>
      </c>
      <c r="K20" s="222"/>
      <c r="L20" s="223"/>
      <c r="M20" s="222"/>
      <c r="N20" s="224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s="13" customFormat="1" ht="10.199999999999999">
      <c r="A21" s="220" t="s">
        <v>113</v>
      </c>
      <c r="B21" s="221"/>
      <c r="C21" s="222"/>
      <c r="D21" s="221"/>
      <c r="E21" s="221">
        <v>478</v>
      </c>
      <c r="F21" s="222">
        <f t="shared" si="1"/>
        <v>-0.12454212454212454</v>
      </c>
      <c r="G21" s="221">
        <v>546</v>
      </c>
      <c r="H21" s="221">
        <v>529</v>
      </c>
      <c r="I21" s="240">
        <f t="shared" si="2"/>
        <v>-0.10490693739424706</v>
      </c>
      <c r="J21" s="221">
        <v>591</v>
      </c>
      <c r="K21" s="222"/>
      <c r="L21" s="223"/>
      <c r="M21" s="222"/>
      <c r="N21" s="224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s="13" customFormat="1" ht="10.199999999999999">
      <c r="A22" s="220" t="s">
        <v>114</v>
      </c>
      <c r="B22" s="221"/>
      <c r="C22" s="222"/>
      <c r="D22" s="221"/>
      <c r="E22" s="221">
        <v>177</v>
      </c>
      <c r="F22" s="222">
        <f t="shared" si="1"/>
        <v>0.27338129496402885</v>
      </c>
      <c r="G22" s="221">
        <v>139</v>
      </c>
      <c r="H22" s="221">
        <v>141</v>
      </c>
      <c r="I22" s="240">
        <f t="shared" si="2"/>
        <v>7.1428571428571175E-3</v>
      </c>
      <c r="J22" s="221">
        <v>140</v>
      </c>
      <c r="K22" s="222"/>
      <c r="L22" s="223"/>
      <c r="M22" s="222"/>
      <c r="N22" s="224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s="13" customFormat="1" ht="10.199999999999999">
      <c r="A23" s="220" t="s">
        <v>115</v>
      </c>
      <c r="B23" s="221"/>
      <c r="C23" s="222"/>
      <c r="D23" s="221"/>
      <c r="E23" s="221">
        <v>550</v>
      </c>
      <c r="F23" s="222">
        <f t="shared" si="1"/>
        <v>7.0038910505836549E-2</v>
      </c>
      <c r="G23" s="221">
        <v>514</v>
      </c>
      <c r="H23" s="221">
        <v>528</v>
      </c>
      <c r="I23" s="240">
        <f t="shared" si="2"/>
        <v>2.9239766081871288E-2</v>
      </c>
      <c r="J23" s="221">
        <v>513</v>
      </c>
      <c r="K23" s="222"/>
      <c r="L23" s="223"/>
      <c r="M23" s="222"/>
      <c r="N23" s="224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s="13" customFormat="1" ht="10.199999999999999">
      <c r="A24" s="220" t="s">
        <v>116</v>
      </c>
      <c r="B24" s="221"/>
      <c r="C24" s="222"/>
      <c r="D24" s="221"/>
      <c r="E24" s="221">
        <v>247</v>
      </c>
      <c r="F24" s="222">
        <f t="shared" si="1"/>
        <v>0.38764044943820219</v>
      </c>
      <c r="G24" s="221">
        <v>178</v>
      </c>
      <c r="H24" s="221">
        <v>219</v>
      </c>
      <c r="I24" s="240">
        <f t="shared" si="2"/>
        <v>0.55319148936170204</v>
      </c>
      <c r="J24" s="221">
        <v>141</v>
      </c>
      <c r="K24" s="222"/>
      <c r="L24" s="223"/>
      <c r="M24" s="222"/>
      <c r="N24" s="224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s="13" customFormat="1" ht="10.199999999999999">
      <c r="A25" s="220" t="s">
        <v>117</v>
      </c>
      <c r="B25" s="221"/>
      <c r="C25" s="222"/>
      <c r="D25" s="221"/>
      <c r="E25" s="221">
        <v>1032</v>
      </c>
      <c r="F25" s="222">
        <f t="shared" si="1"/>
        <v>-8.9947089947089998E-2</v>
      </c>
      <c r="G25" s="221">
        <v>1134</v>
      </c>
      <c r="H25" s="221">
        <v>1131</v>
      </c>
      <c r="I25" s="240">
        <f t="shared" si="2"/>
        <v>-0.13992395437262362</v>
      </c>
      <c r="J25" s="221">
        <v>1315</v>
      </c>
      <c r="K25" s="222"/>
      <c r="L25" s="223"/>
      <c r="M25" s="222"/>
      <c r="N25" s="224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s="13" customFormat="1" ht="10.199999999999999">
      <c r="A26" s="220" t="s">
        <v>118</v>
      </c>
      <c r="B26" s="225"/>
      <c r="C26" s="222"/>
      <c r="D26" s="225"/>
      <c r="E26" s="225">
        <v>1</v>
      </c>
      <c r="F26" s="222">
        <f t="shared" si="1"/>
        <v>-0.875</v>
      </c>
      <c r="G26" s="225">
        <v>8</v>
      </c>
      <c r="H26" s="225">
        <v>5</v>
      </c>
      <c r="I26" s="240">
        <f t="shared" si="2"/>
        <v>-0.5</v>
      </c>
      <c r="J26" s="225">
        <v>10</v>
      </c>
      <c r="K26" s="222"/>
      <c r="L26" s="226"/>
      <c r="M26" s="222"/>
      <c r="N26" s="227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s="13" customFormat="1" ht="10.199999999999999">
      <c r="A27" s="220" t="s">
        <v>119</v>
      </c>
      <c r="B27" s="221"/>
      <c r="C27" s="222"/>
      <c r="D27" s="221"/>
      <c r="E27" s="221">
        <v>9</v>
      </c>
      <c r="F27" s="222">
        <f t="shared" si="1"/>
        <v>1.25</v>
      </c>
      <c r="G27" s="221">
        <v>4</v>
      </c>
      <c r="H27" s="221">
        <v>4</v>
      </c>
      <c r="I27" s="240">
        <f t="shared" si="2"/>
        <v>0.33333333333333326</v>
      </c>
      <c r="J27" s="221">
        <v>3</v>
      </c>
      <c r="K27" s="222"/>
      <c r="L27" s="223"/>
      <c r="M27" s="222"/>
      <c r="N27" s="224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s="4" customFormat="1" ht="10.199999999999999">
      <c r="A28" s="220" t="s">
        <v>120</v>
      </c>
      <c r="B28" s="221"/>
      <c r="C28" s="222"/>
      <c r="D28" s="221"/>
      <c r="E28" s="221">
        <v>30</v>
      </c>
      <c r="F28" s="222">
        <f t="shared" si="1"/>
        <v>-3.2258064516129004E-2</v>
      </c>
      <c r="G28" s="221">
        <v>31</v>
      </c>
      <c r="H28" s="221">
        <v>32</v>
      </c>
      <c r="I28" s="240">
        <f t="shared" si="2"/>
        <v>-5.8823529411764719E-2</v>
      </c>
      <c r="J28" s="221">
        <v>34</v>
      </c>
      <c r="K28" s="222"/>
      <c r="L28" s="223"/>
      <c r="M28" s="222"/>
      <c r="N28" s="224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s="13" customFormat="1" ht="10.199999999999999">
      <c r="A29" s="220" t="s">
        <v>121</v>
      </c>
      <c r="B29" s="221"/>
      <c r="C29" s="222"/>
      <c r="D29" s="221"/>
      <c r="E29" s="221">
        <v>2</v>
      </c>
      <c r="F29" s="222">
        <f t="shared" si="1"/>
        <v>-0.33333333333333337</v>
      </c>
      <c r="G29" s="221">
        <v>3</v>
      </c>
      <c r="H29" s="221">
        <v>4</v>
      </c>
      <c r="I29" s="240">
        <f t="shared" si="2"/>
        <v>1</v>
      </c>
      <c r="J29" s="221">
        <v>2</v>
      </c>
      <c r="K29" s="222"/>
      <c r="L29" s="223"/>
      <c r="M29" s="222"/>
      <c r="N29" s="224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s="13" customFormat="1" ht="10.199999999999999">
      <c r="A30" s="220" t="s">
        <v>122</v>
      </c>
      <c r="B30" s="221"/>
      <c r="C30" s="222"/>
      <c r="D30" s="221"/>
      <c r="E30" s="221">
        <v>630</v>
      </c>
      <c r="F30" s="222">
        <f t="shared" ref="F30:F40" si="3">IF((+E30/G30)&lt;0,"n.m.",IF(E30&lt;0,(+E30/G30-1)*-1,(+E30/G30-1)))</f>
        <v>0.22568093385214016</v>
      </c>
      <c r="G30" s="221">
        <v>514</v>
      </c>
      <c r="H30" s="221">
        <v>561</v>
      </c>
      <c r="I30" s="240">
        <f t="shared" si="2"/>
        <v>0.30465116279069759</v>
      </c>
      <c r="J30" s="221">
        <v>430</v>
      </c>
      <c r="K30" s="222"/>
      <c r="L30" s="223"/>
      <c r="M30" s="222"/>
      <c r="N30" s="224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s="13" customFormat="1" ht="10.199999999999999">
      <c r="A31" s="220" t="s">
        <v>123</v>
      </c>
      <c r="B31" s="221"/>
      <c r="C31" s="222"/>
      <c r="D31" s="221"/>
      <c r="E31" s="221">
        <v>51</v>
      </c>
      <c r="F31" s="222">
        <f t="shared" si="3"/>
        <v>4.081632653061229E-2</v>
      </c>
      <c r="G31" s="221">
        <v>49</v>
      </c>
      <c r="H31" s="221">
        <v>51</v>
      </c>
      <c r="I31" s="240">
        <f t="shared" si="2"/>
        <v>8.5106382978723305E-2</v>
      </c>
      <c r="J31" s="221">
        <v>47</v>
      </c>
      <c r="K31" s="222"/>
      <c r="L31" s="223"/>
      <c r="M31" s="222"/>
      <c r="N31" s="224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s="13" customFormat="1" ht="10.199999999999999">
      <c r="A32" s="220" t="s">
        <v>124</v>
      </c>
      <c r="B32" s="221"/>
      <c r="C32" s="222"/>
      <c r="D32" s="221"/>
      <c r="E32" s="221">
        <v>1</v>
      </c>
      <c r="F32" s="222">
        <f t="shared" si="3"/>
        <v>-0.5</v>
      </c>
      <c r="G32" s="221">
        <v>2</v>
      </c>
      <c r="H32" s="221">
        <v>2</v>
      </c>
      <c r="I32" s="240">
        <f t="shared" si="2"/>
        <v>-0.6</v>
      </c>
      <c r="J32" s="221">
        <v>5</v>
      </c>
      <c r="K32" s="228"/>
      <c r="L32" s="223"/>
      <c r="M32" s="228"/>
      <c r="N32" s="224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s="13" customFormat="1" ht="10.199999999999999">
      <c r="A33" s="220" t="s">
        <v>125</v>
      </c>
      <c r="B33" s="229"/>
      <c r="C33" s="222"/>
      <c r="D33" s="229"/>
      <c r="E33" s="229">
        <v>70</v>
      </c>
      <c r="F33" s="222">
        <f t="shared" si="3"/>
        <v>9.375E-2</v>
      </c>
      <c r="G33" s="229">
        <v>64</v>
      </c>
      <c r="H33" s="229">
        <v>65</v>
      </c>
      <c r="I33" s="240">
        <f t="shared" si="2"/>
        <v>3.0625</v>
      </c>
      <c r="J33" s="229">
        <v>16</v>
      </c>
      <c r="K33" s="222"/>
      <c r="L33" s="230"/>
      <c r="M33" s="222"/>
      <c r="N33" s="22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s="13" customFormat="1" ht="10.199999999999999">
      <c r="A34" s="220" t="s">
        <v>126</v>
      </c>
      <c r="B34" s="229"/>
      <c r="C34" s="222"/>
      <c r="D34" s="229"/>
      <c r="E34" s="229">
        <v>6</v>
      </c>
      <c r="F34" s="222">
        <f t="shared" si="3"/>
        <v>-0.66666666666666674</v>
      </c>
      <c r="G34" s="229">
        <v>18</v>
      </c>
      <c r="H34" s="229">
        <v>14</v>
      </c>
      <c r="I34" s="240">
        <f t="shared" si="2"/>
        <v>-0.33333333333333337</v>
      </c>
      <c r="J34" s="229">
        <v>21</v>
      </c>
      <c r="K34" s="222"/>
      <c r="L34" s="230"/>
      <c r="M34" s="222"/>
      <c r="N34" s="22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s="13" customFormat="1" ht="10.199999999999999">
      <c r="A35" s="227" t="s">
        <v>105</v>
      </c>
      <c r="B35" s="231"/>
      <c r="C35" s="222"/>
      <c r="D35" s="231"/>
      <c r="E35" s="231">
        <f>E13</f>
        <v>605</v>
      </c>
      <c r="F35" s="222">
        <f t="shared" si="3"/>
        <v>-0.63266545233758342</v>
      </c>
      <c r="G35" s="231">
        <f>G13</f>
        <v>1647</v>
      </c>
      <c r="H35" s="231">
        <f>H13</f>
        <v>657</v>
      </c>
      <c r="I35" s="240">
        <f t="shared" si="2"/>
        <v>-0.61913043478260876</v>
      </c>
      <c r="J35" s="231">
        <f>J13</f>
        <v>1725</v>
      </c>
      <c r="K35" s="222"/>
      <c r="L35" s="232"/>
      <c r="M35" s="222"/>
      <c r="N35" s="22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s="13" customFormat="1" ht="10.199999999999999">
      <c r="A36" s="227" t="s">
        <v>106</v>
      </c>
      <c r="B36" s="231"/>
      <c r="C36" s="222"/>
      <c r="D36" s="231"/>
      <c r="E36" s="231">
        <f>E14</f>
        <v>6370</v>
      </c>
      <c r="F36" s="222">
        <f t="shared" si="3"/>
        <v>-5.5596738324684924E-2</v>
      </c>
      <c r="G36" s="231">
        <f>G14</f>
        <v>6745</v>
      </c>
      <c r="H36" s="231">
        <f>H14</f>
        <v>7146</v>
      </c>
      <c r="I36" s="240">
        <f t="shared" si="2"/>
        <v>-2.6165167620605057E-2</v>
      </c>
      <c r="J36" s="231">
        <f>J14</f>
        <v>7338</v>
      </c>
      <c r="K36" s="222"/>
      <c r="L36" s="232"/>
      <c r="M36" s="222"/>
      <c r="N36" s="22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s="4" customFormat="1" ht="10.199999999999999">
      <c r="A37" s="227" t="s">
        <v>127</v>
      </c>
      <c r="B37" s="225"/>
      <c r="C37" s="222"/>
      <c r="D37" s="225"/>
      <c r="E37" s="225">
        <f>E15+E16+E17+E18+E19+E20+E21+E22+E23+E24</f>
        <v>8708</v>
      </c>
      <c r="F37" s="222">
        <f t="shared" si="3"/>
        <v>-7.0254110612855025E-2</v>
      </c>
      <c r="G37" s="225">
        <f>G15+G16+G17+G18+G19+G20+G21+G22+G23+G24</f>
        <v>9366</v>
      </c>
      <c r="H37" s="225">
        <f>H15+H16+H17+H18+H19+H20+H21+H22+H23+H24</f>
        <v>9097</v>
      </c>
      <c r="I37" s="240">
        <f t="shared" si="2"/>
        <v>-0.10312530809425224</v>
      </c>
      <c r="J37" s="225">
        <f>J15+J16+J17+J18+J19+J20+J21+J22+J23+J24</f>
        <v>10143</v>
      </c>
      <c r="K37" s="222"/>
      <c r="L37" s="226"/>
      <c r="M37" s="222"/>
      <c r="N37" s="233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s="4" customFormat="1" ht="10.199999999999999">
      <c r="A38" s="227" t="s">
        <v>128</v>
      </c>
      <c r="B38" s="225"/>
      <c r="C38" s="222"/>
      <c r="D38" s="225"/>
      <c r="E38" s="225">
        <f>E25+E26+E27+E28+E29+E30</f>
        <v>1704</v>
      </c>
      <c r="F38" s="222">
        <f t="shared" si="3"/>
        <v>5.9031877213695516E-3</v>
      </c>
      <c r="G38" s="225">
        <f>G25+G26+G27+G28+G29+G30</f>
        <v>1694</v>
      </c>
      <c r="H38" s="225">
        <f>H25+H26+H27+H28+H29+H30</f>
        <v>1737</v>
      </c>
      <c r="I38" s="240">
        <f t="shared" si="2"/>
        <v>-3.1772575250836099E-2</v>
      </c>
      <c r="J38" s="225">
        <f>J25+J26+J27+J28+J29+J30</f>
        <v>1794</v>
      </c>
      <c r="K38" s="222"/>
      <c r="L38" s="226"/>
      <c r="M38" s="222"/>
      <c r="N38" s="233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s="13" customFormat="1" ht="10.199999999999999">
      <c r="A39" s="227" t="s">
        <v>129</v>
      </c>
      <c r="B39" s="225"/>
      <c r="C39" s="222"/>
      <c r="D39" s="225"/>
      <c r="E39" s="225">
        <f>E31+E32+E33+E34</f>
        <v>128</v>
      </c>
      <c r="F39" s="222">
        <f t="shared" si="3"/>
        <v>-3.7593984962406068E-2</v>
      </c>
      <c r="G39" s="225">
        <f>G31+G32+G33+G34</f>
        <v>133</v>
      </c>
      <c r="H39" s="225">
        <f>H31+H32+H33+H34</f>
        <v>132</v>
      </c>
      <c r="I39" s="240">
        <f t="shared" si="2"/>
        <v>0.48314606741573041</v>
      </c>
      <c r="J39" s="225">
        <f>J31+J32+J33+J34</f>
        <v>89</v>
      </c>
      <c r="K39" s="222"/>
      <c r="L39" s="226"/>
      <c r="M39" s="222"/>
      <c r="N39" s="233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s="4" customFormat="1" ht="10.199999999999999">
      <c r="A40" s="218" t="s">
        <v>130</v>
      </c>
      <c r="B40" s="234"/>
      <c r="C40" s="211"/>
      <c r="D40" s="234"/>
      <c r="E40" s="234">
        <f>SUM(E35:E39)</f>
        <v>17515</v>
      </c>
      <c r="F40" s="211">
        <f t="shared" si="3"/>
        <v>-0.10569313249936174</v>
      </c>
      <c r="G40" s="234">
        <f>SUM(G35:G39)</f>
        <v>19585</v>
      </c>
      <c r="H40" s="234">
        <f>SUM(H35:H39)</f>
        <v>18769</v>
      </c>
      <c r="I40" s="299">
        <f t="shared" ref="I40" si="4">IF((+H40/J40)&lt;0,"n.m.",IF(H40&lt;0,(+H40/J40-1)*-1,(+H40/J40-1)))</f>
        <v>-0.11000995779790412</v>
      </c>
      <c r="J40" s="234">
        <f>SUM(J35:J39)</f>
        <v>21089</v>
      </c>
      <c r="K40" s="211">
        <f>(J40-L40)/L40</f>
        <v>-7.0928234723996647E-2</v>
      </c>
      <c r="L40" s="235">
        <v>22699</v>
      </c>
      <c r="M40" s="211">
        <f>(L40-N40)/N40</f>
        <v>-2.1468293313790576E-2</v>
      </c>
      <c r="N40" s="235">
        <v>23197</v>
      </c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s="149" customFormat="1" ht="10.199999999999999">
      <c r="A41" s="236" t="s">
        <v>140</v>
      </c>
      <c r="B41" s="237"/>
      <c r="C41" s="222"/>
      <c r="D41" s="237"/>
      <c r="E41" s="237">
        <f>E40/Group!E152</f>
        <v>0.24046844323626729</v>
      </c>
      <c r="F41" s="222"/>
      <c r="G41" s="237">
        <f>G40/Group!G152</f>
        <v>0.27501228673734468</v>
      </c>
      <c r="H41" s="237">
        <f>H40/Group!H152</f>
        <v>0.25744108852494996</v>
      </c>
      <c r="I41" s="238"/>
      <c r="J41" s="237">
        <f>J40/Group!J152</f>
        <v>0.28849521203830369</v>
      </c>
      <c r="K41" s="238"/>
      <c r="L41" s="238">
        <f>L40/Group!L152</f>
        <v>0.30670179705445211</v>
      </c>
      <c r="M41" s="238"/>
      <c r="N41" s="238">
        <f>N40/Group!N152</f>
        <v>0.30178492441391513</v>
      </c>
      <c r="O41" s="148"/>
      <c r="P41" s="148"/>
      <c r="Q41" s="148"/>
      <c r="R41" s="148"/>
      <c r="S41" s="148"/>
      <c r="T41" s="148"/>
      <c r="U41" s="148"/>
      <c r="V41" s="148"/>
      <c r="W41" s="148"/>
      <c r="X41" s="148"/>
    </row>
    <row r="42" spans="1:24" ht="12" customHeight="1">
      <c r="A42" s="214"/>
      <c r="B42" s="217"/>
      <c r="C42" s="222"/>
      <c r="D42" s="217"/>
      <c r="E42" s="217"/>
      <c r="F42" s="222"/>
      <c r="G42" s="217"/>
      <c r="H42" s="217"/>
      <c r="I42" s="216"/>
      <c r="J42" s="217"/>
      <c r="K42" s="216"/>
      <c r="L42" s="217"/>
      <c r="M42" s="212"/>
      <c r="N42" s="217"/>
    </row>
    <row r="43" spans="1:24" s="213" customFormat="1" ht="12" customHeight="1">
      <c r="A43" s="218" t="s">
        <v>4</v>
      </c>
      <c r="B43" s="219"/>
      <c r="C43" s="222"/>
      <c r="D43" s="219"/>
      <c r="E43" s="219"/>
      <c r="F43" s="222"/>
      <c r="G43" s="219"/>
      <c r="H43" s="219"/>
      <c r="I43" s="216"/>
      <c r="J43" s="219"/>
      <c r="K43" s="216"/>
      <c r="L43" s="219"/>
      <c r="M43" s="212"/>
      <c r="N43" s="219"/>
    </row>
    <row r="44" spans="1:24" s="4" customFormat="1" ht="10.199999999999999">
      <c r="A44" s="220" t="s">
        <v>105</v>
      </c>
      <c r="B44" s="239"/>
      <c r="C44" s="222"/>
      <c r="D44" s="239"/>
      <c r="E44" s="239">
        <v>59.18</v>
      </c>
      <c r="F44" s="222">
        <f t="shared" ref="F44:F59" si="5">IF((+E44/G44)&lt;0,"n.m.",IF(E44&lt;0,(+E44/G44-1)*-1,(+E44/G44-1)))</f>
        <v>-0.48395535402860135</v>
      </c>
      <c r="G44" s="239">
        <v>114.68</v>
      </c>
      <c r="H44" s="239">
        <v>131.92999999999998</v>
      </c>
      <c r="I44" s="240">
        <f t="shared" ref="I44:I70" si="6">IF((+H44/J44)&lt;0,"n.m.",IF(H44&lt;0,(+H44/J44-1)*-1,(+H44/J44-1)))</f>
        <v>-0.60772478591817325</v>
      </c>
      <c r="J44" s="239">
        <v>336.32</v>
      </c>
      <c r="K44" s="222"/>
      <c r="L44" s="223"/>
      <c r="M44" s="222"/>
      <c r="N44" s="224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s="4" customFormat="1" ht="10.199999999999999">
      <c r="A45" s="220" t="s">
        <v>106</v>
      </c>
      <c r="B45" s="239"/>
      <c r="C45" s="222"/>
      <c r="D45" s="239"/>
      <c r="E45" s="239">
        <v>672.71</v>
      </c>
      <c r="F45" s="222">
        <f t="shared" si="5"/>
        <v>-4.7719486990741911E-2</v>
      </c>
      <c r="G45" s="239">
        <v>706.42</v>
      </c>
      <c r="H45" s="239">
        <v>1680.94</v>
      </c>
      <c r="I45" s="240">
        <f t="shared" si="6"/>
        <v>3.1061767772802673E-2</v>
      </c>
      <c r="J45" s="239">
        <v>1630.3</v>
      </c>
      <c r="K45" s="222"/>
      <c r="L45" s="223"/>
      <c r="M45" s="222"/>
      <c r="N45" s="224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s="4" customFormat="1" ht="10.199999999999999">
      <c r="A46" s="220" t="s">
        <v>107</v>
      </c>
      <c r="B46" s="239"/>
      <c r="C46" s="222"/>
      <c r="D46" s="239"/>
      <c r="E46" s="239">
        <v>8.52</v>
      </c>
      <c r="F46" s="222">
        <f t="shared" si="5"/>
        <v>-0.59195402298850575</v>
      </c>
      <c r="G46" s="239">
        <v>20.88</v>
      </c>
      <c r="H46" s="239">
        <v>31.1</v>
      </c>
      <c r="I46" s="240">
        <f t="shared" si="6"/>
        <v>-0.38537549407114624</v>
      </c>
      <c r="J46" s="239">
        <v>50.6</v>
      </c>
      <c r="K46" s="222"/>
      <c r="L46" s="223"/>
      <c r="M46" s="222"/>
      <c r="N46" s="224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s="4" customFormat="1" ht="10.199999999999999">
      <c r="A47" s="220" t="s">
        <v>108</v>
      </c>
      <c r="B47" s="239"/>
      <c r="C47" s="222"/>
      <c r="D47" s="239"/>
      <c r="E47" s="239">
        <v>221.03</v>
      </c>
      <c r="F47" s="222">
        <f t="shared" si="5"/>
        <v>0.19102273951934468</v>
      </c>
      <c r="G47" s="239">
        <v>185.58</v>
      </c>
      <c r="H47" s="239">
        <v>505.09</v>
      </c>
      <c r="I47" s="240">
        <f t="shared" si="6"/>
        <v>-7.4163688021262941E-2</v>
      </c>
      <c r="J47" s="239">
        <v>545.54999999999995</v>
      </c>
      <c r="K47" s="222"/>
      <c r="L47" s="223"/>
      <c r="M47" s="222"/>
      <c r="N47" s="224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s="13" customFormat="1" ht="10.199999999999999">
      <c r="A48" s="220" t="s">
        <v>109</v>
      </c>
      <c r="B48" s="239"/>
      <c r="C48" s="222"/>
      <c r="D48" s="239"/>
      <c r="E48" s="239">
        <v>208.49</v>
      </c>
      <c r="F48" s="222">
        <f t="shared" si="5"/>
        <v>0.17930878443350884</v>
      </c>
      <c r="G48" s="239">
        <v>176.79</v>
      </c>
      <c r="H48" s="239">
        <v>431.18</v>
      </c>
      <c r="I48" s="240">
        <f t="shared" si="6"/>
        <v>7.1254658385093261E-2</v>
      </c>
      <c r="J48" s="239">
        <v>402.5</v>
      </c>
      <c r="K48" s="222"/>
      <c r="L48" s="223"/>
      <c r="M48" s="222"/>
      <c r="N48" s="224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s="13" customFormat="1" ht="10.199999999999999">
      <c r="A49" s="220" t="s">
        <v>110</v>
      </c>
      <c r="B49" s="239"/>
      <c r="C49" s="222"/>
      <c r="D49" s="239"/>
      <c r="E49" s="239">
        <v>87.09</v>
      </c>
      <c r="F49" s="222">
        <f t="shared" si="5"/>
        <v>-5.9353955027964256E-3</v>
      </c>
      <c r="G49" s="239">
        <v>87.61</v>
      </c>
      <c r="H49" s="239">
        <v>189.89</v>
      </c>
      <c r="I49" s="240">
        <f t="shared" si="6"/>
        <v>-0.53670676068021572</v>
      </c>
      <c r="J49" s="239">
        <v>409.87</v>
      </c>
      <c r="K49" s="222"/>
      <c r="L49" s="223"/>
      <c r="M49" s="222"/>
      <c r="N49" s="224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s="13" customFormat="1" ht="10.199999999999999">
      <c r="A50" s="220" t="s">
        <v>111</v>
      </c>
      <c r="B50" s="239"/>
      <c r="C50" s="222"/>
      <c r="D50" s="239"/>
      <c r="E50" s="239">
        <v>254.04</v>
      </c>
      <c r="F50" s="222">
        <f t="shared" si="5"/>
        <v>0.74838265657260816</v>
      </c>
      <c r="G50" s="239">
        <v>145.30000000000001</v>
      </c>
      <c r="H50" s="239">
        <v>386.06</v>
      </c>
      <c r="I50" s="240">
        <f t="shared" si="6"/>
        <v>0.28314554458736341</v>
      </c>
      <c r="J50" s="239">
        <v>300.87</v>
      </c>
      <c r="K50" s="222"/>
      <c r="L50" s="223"/>
      <c r="M50" s="222"/>
      <c r="N50" s="224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s="13" customFormat="1" ht="10.199999999999999">
      <c r="A51" s="220" t="s">
        <v>112</v>
      </c>
      <c r="B51" s="239"/>
      <c r="C51" s="222"/>
      <c r="D51" s="239"/>
      <c r="E51" s="239">
        <v>81.77</v>
      </c>
      <c r="F51" s="222">
        <f t="shared" si="5"/>
        <v>0.41446116588825443</v>
      </c>
      <c r="G51" s="239">
        <v>57.81</v>
      </c>
      <c r="H51" s="239">
        <v>146.62</v>
      </c>
      <c r="I51" s="240">
        <f t="shared" si="6"/>
        <v>-0.48503793200337175</v>
      </c>
      <c r="J51" s="239">
        <v>284.72000000000003</v>
      </c>
      <c r="K51" s="222"/>
      <c r="L51" s="223"/>
      <c r="M51" s="222"/>
      <c r="N51" s="224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s="13" customFormat="1" ht="10.199999999999999">
      <c r="A52" s="220" t="s">
        <v>113</v>
      </c>
      <c r="B52" s="239"/>
      <c r="C52" s="222"/>
      <c r="D52" s="239"/>
      <c r="E52" s="239">
        <v>25.47</v>
      </c>
      <c r="F52" s="222">
        <f t="shared" si="5"/>
        <v>-0.61762498123404896</v>
      </c>
      <c r="G52" s="239">
        <v>66.61</v>
      </c>
      <c r="H52" s="239">
        <v>102.76</v>
      </c>
      <c r="I52" s="240">
        <f t="shared" si="6"/>
        <v>-9.8359217337895877E-2</v>
      </c>
      <c r="J52" s="239">
        <v>113.97</v>
      </c>
      <c r="K52" s="222"/>
      <c r="L52" s="223"/>
      <c r="M52" s="222"/>
      <c r="N52" s="224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s="13" customFormat="1" ht="10.199999999999999">
      <c r="A53" s="220" t="s">
        <v>114</v>
      </c>
      <c r="B53" s="239"/>
      <c r="C53" s="222"/>
      <c r="D53" s="239"/>
      <c r="E53" s="239">
        <v>49.37</v>
      </c>
      <c r="F53" s="222">
        <f t="shared" si="5"/>
        <v>1.3211095439586269</v>
      </c>
      <c r="G53" s="239">
        <v>21.27</v>
      </c>
      <c r="H53" s="239">
        <v>57.35</v>
      </c>
      <c r="I53" s="240">
        <f t="shared" si="6"/>
        <v>0.22857754927163665</v>
      </c>
      <c r="J53" s="239">
        <v>46.68</v>
      </c>
      <c r="K53" s="222"/>
      <c r="L53" s="223"/>
      <c r="M53" s="222"/>
      <c r="N53" s="224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s="13" customFormat="1" ht="10.199999999999999">
      <c r="A54" s="220" t="s">
        <v>115</v>
      </c>
      <c r="B54" s="239"/>
      <c r="C54" s="222"/>
      <c r="D54" s="239"/>
      <c r="E54" s="239">
        <v>15.24</v>
      </c>
      <c r="F54" s="222">
        <f t="shared" si="5"/>
        <v>9.1690544412607489E-2</v>
      </c>
      <c r="G54" s="239">
        <v>13.96</v>
      </c>
      <c r="H54" s="239">
        <v>35.94</v>
      </c>
      <c r="I54" s="240">
        <f t="shared" si="6"/>
        <v>0.22578444747612547</v>
      </c>
      <c r="J54" s="239">
        <v>29.32</v>
      </c>
      <c r="K54" s="222"/>
      <c r="L54" s="223"/>
      <c r="M54" s="222"/>
      <c r="N54" s="224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s="13" customFormat="1" ht="10.199999999999999">
      <c r="A55" s="220" t="s">
        <v>116</v>
      </c>
      <c r="B55" s="239"/>
      <c r="C55" s="222"/>
      <c r="D55" s="239"/>
      <c r="E55" s="239">
        <v>10.7</v>
      </c>
      <c r="F55" s="222">
        <f t="shared" si="5"/>
        <v>-0.22125181950509465</v>
      </c>
      <c r="G55" s="239">
        <v>13.74</v>
      </c>
      <c r="H55" s="239">
        <v>35.75</v>
      </c>
      <c r="I55" s="240">
        <f t="shared" si="6"/>
        <v>1.0640877598152425</v>
      </c>
      <c r="J55" s="239">
        <v>17.32</v>
      </c>
      <c r="K55" s="222"/>
      <c r="L55" s="223"/>
      <c r="M55" s="222"/>
      <c r="N55" s="224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 s="13" customFormat="1" ht="10.199999999999999">
      <c r="A56" s="220" t="s">
        <v>117</v>
      </c>
      <c r="B56" s="239"/>
      <c r="C56" s="222"/>
      <c r="D56" s="239"/>
      <c r="E56" s="239">
        <v>126.03</v>
      </c>
      <c r="F56" s="222">
        <f t="shared" si="5"/>
        <v>-5.6020198832255064E-3</v>
      </c>
      <c r="G56" s="239">
        <v>126.74</v>
      </c>
      <c r="H56" s="239">
        <v>293.57</v>
      </c>
      <c r="I56" s="240">
        <f t="shared" si="6"/>
        <v>-9.7707155151217195E-2</v>
      </c>
      <c r="J56" s="239">
        <v>325.36</v>
      </c>
      <c r="K56" s="222"/>
      <c r="L56" s="223"/>
      <c r="M56" s="222"/>
      <c r="N56" s="224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 s="13" customFormat="1" ht="10.199999999999999">
      <c r="A57" s="220" t="s">
        <v>118</v>
      </c>
      <c r="B57" s="241"/>
      <c r="C57" s="222"/>
      <c r="D57" s="241"/>
      <c r="E57" s="241">
        <v>0.59</v>
      </c>
      <c r="F57" s="222">
        <f t="shared" si="5"/>
        <v>-0.8</v>
      </c>
      <c r="G57" s="241">
        <v>2.95</v>
      </c>
      <c r="H57" s="241">
        <v>5.0599999999999996</v>
      </c>
      <c r="I57" s="240">
        <f t="shared" si="6"/>
        <v>-2.3166023166023231E-2</v>
      </c>
      <c r="J57" s="241">
        <v>5.18</v>
      </c>
      <c r="K57" s="222"/>
      <c r="L57" s="226"/>
      <c r="M57" s="222"/>
      <c r="N57" s="227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s="13" customFormat="1" ht="10.199999999999999">
      <c r="A58" s="220" t="s">
        <v>119</v>
      </c>
      <c r="B58" s="239"/>
      <c r="C58" s="222"/>
      <c r="D58" s="239"/>
      <c r="E58" s="239">
        <v>7.0000000000000007E-2</v>
      </c>
      <c r="F58" s="222">
        <f t="shared" si="5"/>
        <v>-0.9770491803278688</v>
      </c>
      <c r="G58" s="239">
        <v>3.05</v>
      </c>
      <c r="H58" s="239">
        <v>0</v>
      </c>
      <c r="I58" s="240"/>
      <c r="J58" s="239">
        <v>0</v>
      </c>
      <c r="K58" s="222"/>
      <c r="L58" s="223"/>
      <c r="M58" s="222"/>
      <c r="N58" s="224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s="4" customFormat="1" ht="10.199999999999999">
      <c r="A59" s="220" t="s">
        <v>120</v>
      </c>
      <c r="B59" s="239"/>
      <c r="C59" s="222"/>
      <c r="D59" s="239"/>
      <c r="E59" s="239">
        <v>3.24</v>
      </c>
      <c r="F59" s="222">
        <f t="shared" si="5"/>
        <v>0.14084507042253525</v>
      </c>
      <c r="G59" s="239">
        <v>2.84</v>
      </c>
      <c r="H59" s="239">
        <v>5.13</v>
      </c>
      <c r="I59" s="240">
        <f t="shared" si="6"/>
        <v>-0.12755102040816324</v>
      </c>
      <c r="J59" s="239">
        <v>5.88</v>
      </c>
      <c r="K59" s="222"/>
      <c r="L59" s="223"/>
      <c r="M59" s="222"/>
      <c r="N59" s="224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s="13" customFormat="1" ht="10.199999999999999">
      <c r="A60" s="220" t="s">
        <v>121</v>
      </c>
      <c r="B60" s="239"/>
      <c r="C60" s="222"/>
      <c r="D60" s="239"/>
      <c r="E60" s="239">
        <v>-0.04</v>
      </c>
      <c r="F60" s="222" t="str">
        <f t="shared" ref="F60:F71" si="7">IF((+E60/G60)&lt;0,"n.m.",IF(E60&lt;0,(+E60/G60-1)*-1,(+E60/G60-1)))</f>
        <v>n.m.</v>
      </c>
      <c r="G60" s="239">
        <v>0.84</v>
      </c>
      <c r="H60" s="239">
        <v>1.5</v>
      </c>
      <c r="I60" s="240">
        <f t="shared" si="6"/>
        <v>-0.31192660550458717</v>
      </c>
      <c r="J60" s="239">
        <v>2.1800000000000002</v>
      </c>
      <c r="K60" s="222"/>
      <c r="L60" s="223"/>
      <c r="M60" s="222"/>
      <c r="N60" s="224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 s="13" customFormat="1" ht="10.199999999999999">
      <c r="A61" s="220" t="s">
        <v>122</v>
      </c>
      <c r="B61" s="239"/>
      <c r="C61" s="222"/>
      <c r="D61" s="239"/>
      <c r="E61" s="239">
        <v>49.24</v>
      </c>
      <c r="F61" s="222">
        <f t="shared" si="7"/>
        <v>0.5239863819251005</v>
      </c>
      <c r="G61" s="239">
        <v>32.31</v>
      </c>
      <c r="H61" s="239">
        <v>90.2</v>
      </c>
      <c r="I61" s="240">
        <f t="shared" si="6"/>
        <v>0.92817443351859774</v>
      </c>
      <c r="J61" s="239">
        <v>46.78</v>
      </c>
      <c r="K61" s="222"/>
      <c r="L61" s="223"/>
      <c r="M61" s="222"/>
      <c r="N61" s="224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 s="13" customFormat="1" ht="10.199999999999999">
      <c r="A62" s="220" t="s">
        <v>123</v>
      </c>
      <c r="B62" s="239"/>
      <c r="C62" s="222"/>
      <c r="D62" s="239"/>
      <c r="E62" s="239">
        <v>8.31</v>
      </c>
      <c r="F62" s="222">
        <f t="shared" si="7"/>
        <v>-0.16816816816816815</v>
      </c>
      <c r="G62" s="239">
        <v>9.99</v>
      </c>
      <c r="H62" s="239">
        <v>21.08</v>
      </c>
      <c r="I62" s="240">
        <f t="shared" si="6"/>
        <v>0.37777777777777755</v>
      </c>
      <c r="J62" s="239">
        <v>15.3</v>
      </c>
      <c r="K62" s="222"/>
      <c r="L62" s="223"/>
      <c r="M62" s="222"/>
      <c r="N62" s="224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 s="13" customFormat="1" ht="10.199999999999999">
      <c r="A63" s="220" t="s">
        <v>124</v>
      </c>
      <c r="B63" s="239"/>
      <c r="C63" s="222"/>
      <c r="D63" s="239"/>
      <c r="E63" s="239">
        <v>0.04</v>
      </c>
      <c r="F63" s="222">
        <f t="shared" si="7"/>
        <v>-0.98019801980198018</v>
      </c>
      <c r="G63" s="239">
        <v>2.02</v>
      </c>
      <c r="H63" s="239">
        <v>2.48</v>
      </c>
      <c r="I63" s="240">
        <f t="shared" si="6"/>
        <v>-0.50988142292490113</v>
      </c>
      <c r="J63" s="239">
        <v>5.0599999999999996</v>
      </c>
      <c r="K63" s="228"/>
      <c r="L63" s="223"/>
      <c r="M63" s="228"/>
      <c r="N63" s="224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 s="13" customFormat="1" ht="10.199999999999999">
      <c r="A64" s="220" t="s">
        <v>125</v>
      </c>
      <c r="B64" s="242"/>
      <c r="C64" s="222"/>
      <c r="D64" s="242"/>
      <c r="E64" s="242">
        <v>3.97</v>
      </c>
      <c r="F64" s="222">
        <f t="shared" si="7"/>
        <v>-0.21696252465483234</v>
      </c>
      <c r="G64" s="242">
        <v>5.07</v>
      </c>
      <c r="H64" s="242">
        <v>12.2</v>
      </c>
      <c r="I64" s="240">
        <f t="shared" si="6"/>
        <v>3.918228279386704E-2</v>
      </c>
      <c r="J64" s="242">
        <v>11.74</v>
      </c>
      <c r="K64" s="222"/>
      <c r="L64" s="230"/>
      <c r="M64" s="222"/>
      <c r="N64" s="22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 s="13" customFormat="1" ht="10.199999999999999">
      <c r="A65" s="220" t="s">
        <v>126</v>
      </c>
      <c r="B65" s="242"/>
      <c r="C65" s="222"/>
      <c r="D65" s="242"/>
      <c r="E65" s="242">
        <v>1.72</v>
      </c>
      <c r="F65" s="222">
        <f t="shared" si="7"/>
        <v>-0.30645161290322587</v>
      </c>
      <c r="G65" s="242">
        <v>2.48</v>
      </c>
      <c r="H65" s="242">
        <v>4.97</v>
      </c>
      <c r="I65" s="240">
        <f t="shared" si="6"/>
        <v>-0.36768447837150131</v>
      </c>
      <c r="J65" s="242">
        <v>7.86</v>
      </c>
      <c r="K65" s="222"/>
      <c r="L65" s="230"/>
      <c r="M65" s="222"/>
      <c r="N65" s="22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 s="13" customFormat="1" ht="10.199999999999999">
      <c r="A66" s="227" t="s">
        <v>105</v>
      </c>
      <c r="B66" s="243"/>
      <c r="C66" s="222"/>
      <c r="D66" s="243"/>
      <c r="E66" s="243">
        <f>E44</f>
        <v>59.18</v>
      </c>
      <c r="F66" s="222">
        <f t="shared" si="7"/>
        <v>-0.48395535402860135</v>
      </c>
      <c r="G66" s="243">
        <f>G44</f>
        <v>114.68</v>
      </c>
      <c r="H66" s="243">
        <f>H44</f>
        <v>131.92999999999998</v>
      </c>
      <c r="I66" s="240">
        <f t="shared" si="6"/>
        <v>-0.60772478591817325</v>
      </c>
      <c r="J66" s="243">
        <f>J44</f>
        <v>336.32</v>
      </c>
      <c r="K66" s="222"/>
      <c r="L66" s="232"/>
      <c r="M66" s="222"/>
      <c r="N66" s="22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 s="13" customFormat="1" ht="10.199999999999999">
      <c r="A67" s="227" t="s">
        <v>106</v>
      </c>
      <c r="B67" s="243"/>
      <c r="C67" s="222"/>
      <c r="D67" s="243"/>
      <c r="E67" s="243">
        <f>E45</f>
        <v>672.71</v>
      </c>
      <c r="F67" s="222">
        <f t="shared" si="7"/>
        <v>-4.7719486990741911E-2</v>
      </c>
      <c r="G67" s="243">
        <f>G45</f>
        <v>706.42</v>
      </c>
      <c r="H67" s="243">
        <f>H45</f>
        <v>1680.94</v>
      </c>
      <c r="I67" s="240">
        <f t="shared" si="6"/>
        <v>3.1061767772802673E-2</v>
      </c>
      <c r="J67" s="243">
        <f>J45</f>
        <v>1630.3</v>
      </c>
      <c r="K67" s="222"/>
      <c r="L67" s="232"/>
      <c r="M67" s="222"/>
      <c r="N67" s="22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 s="4" customFormat="1" ht="10.199999999999999">
      <c r="A68" s="227" t="s">
        <v>127</v>
      </c>
      <c r="B68" s="241"/>
      <c r="C68" s="222"/>
      <c r="D68" s="241"/>
      <c r="E68" s="241">
        <f>E46+E47+E48+E49+E50+E51+E52+E53+E54+E55</f>
        <v>961.72</v>
      </c>
      <c r="F68" s="222">
        <f t="shared" si="7"/>
        <v>0.21806092077765804</v>
      </c>
      <c r="G68" s="241">
        <f>G46+G47+G48+G49+G50+G51+G52+G53+G54+G55</f>
        <v>789.55000000000007</v>
      </c>
      <c r="H68" s="241">
        <f>H46+H47+H48+H49+H50+H51+H52+H53+H54+H55</f>
        <v>1921.7399999999996</v>
      </c>
      <c r="I68" s="240">
        <f t="shared" si="6"/>
        <v>-0.12703733987462551</v>
      </c>
      <c r="J68" s="241">
        <f>J46+J47+J48+J49+J50+J51+J52+J53+J54+J55</f>
        <v>2201.4</v>
      </c>
      <c r="K68" s="222"/>
      <c r="L68" s="226"/>
      <c r="M68" s="222"/>
      <c r="N68" s="233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s="4" customFormat="1" ht="10.199999999999999">
      <c r="A69" s="227" t="s">
        <v>128</v>
      </c>
      <c r="B69" s="241"/>
      <c r="C69" s="222"/>
      <c r="D69" s="241"/>
      <c r="E69" s="241">
        <f>E56+E57+E58+E59+E60+E61</f>
        <v>179.13000000000002</v>
      </c>
      <c r="F69" s="222">
        <f t="shared" si="7"/>
        <v>6.1636934747822059E-2</v>
      </c>
      <c r="G69" s="241">
        <f>G56+G57+G58+G59+G60+G61</f>
        <v>168.73000000000002</v>
      </c>
      <c r="H69" s="241">
        <f>H56+H57+H58+H59+H60+H61</f>
        <v>395.46</v>
      </c>
      <c r="I69" s="240">
        <f t="shared" si="6"/>
        <v>2.6156001868285816E-2</v>
      </c>
      <c r="J69" s="241">
        <f>J56+J57+J58+J59+J60+J61</f>
        <v>385.38</v>
      </c>
      <c r="K69" s="222"/>
      <c r="L69" s="226"/>
      <c r="M69" s="222"/>
      <c r="N69" s="233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s="13" customFormat="1" ht="10.199999999999999">
      <c r="A70" s="227" t="s">
        <v>129</v>
      </c>
      <c r="B70" s="241"/>
      <c r="C70" s="222"/>
      <c r="D70" s="241"/>
      <c r="E70" s="241">
        <f>E62+E63+E64+E65</f>
        <v>14.040000000000001</v>
      </c>
      <c r="F70" s="222">
        <f t="shared" si="7"/>
        <v>-0.28220858895705514</v>
      </c>
      <c r="G70" s="241">
        <f>G62+G63+G64+G65</f>
        <v>19.559999999999999</v>
      </c>
      <c r="H70" s="241">
        <f>H62+H63+H64+H65</f>
        <v>40.729999999999997</v>
      </c>
      <c r="I70" s="240">
        <f t="shared" si="6"/>
        <v>1.9269269269269085E-2</v>
      </c>
      <c r="J70" s="241">
        <f>J62+J63+J64+J65</f>
        <v>39.96</v>
      </c>
      <c r="K70" s="222"/>
      <c r="L70" s="226"/>
      <c r="M70" s="222"/>
      <c r="N70" s="233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s="213" customFormat="1" ht="10.199999999999999" customHeight="1">
      <c r="A71" s="218" t="s">
        <v>133</v>
      </c>
      <c r="B71" s="244"/>
      <c r="C71" s="211"/>
      <c r="D71" s="244"/>
      <c r="E71" s="244">
        <f>SUM(E66:E70)</f>
        <v>1886.7800000000002</v>
      </c>
      <c r="F71" s="211">
        <f t="shared" si="7"/>
        <v>4.8828754711107702E-2</v>
      </c>
      <c r="G71" s="244">
        <f>SUM(G66:G70)</f>
        <v>1798.94</v>
      </c>
      <c r="H71" s="244">
        <f>SUM(H66:H70)</f>
        <v>4170.7999999999993</v>
      </c>
      <c r="I71" s="299">
        <f t="shared" ref="I71" si="8">IF((+H71/J71)&lt;0,"n.m.",IF(H71&lt;0,(+H71/J71-1)*-1,(+H71/J71-1)))</f>
        <v>-9.1993660414163347E-2</v>
      </c>
      <c r="J71" s="244">
        <f>SUM(J66:J70)</f>
        <v>4593.3600000000006</v>
      </c>
      <c r="K71" s="211">
        <f>(J71-L71)/L71</f>
        <v>-3.414400282605845E-2</v>
      </c>
      <c r="L71" s="244">
        <v>4755.74</v>
      </c>
      <c r="M71" s="211">
        <f>(L71-N71)/N71</f>
        <v>-2.5776543202289413E-2</v>
      </c>
      <c r="N71" s="244">
        <v>4881.57</v>
      </c>
    </row>
    <row r="72" spans="1:24" ht="10.199999999999999" customHeight="1">
      <c r="A72" s="220"/>
      <c r="B72" s="227"/>
      <c r="C72" s="222"/>
      <c r="D72" s="227"/>
      <c r="E72" s="227"/>
      <c r="F72" s="222"/>
      <c r="G72" s="227"/>
      <c r="H72" s="227"/>
      <c r="I72" s="216"/>
      <c r="J72" s="227"/>
      <c r="K72" s="216"/>
      <c r="L72" s="227"/>
      <c r="M72" s="212"/>
      <c r="N72" s="227"/>
    </row>
    <row r="73" spans="1:24" ht="10.199999999999999" customHeight="1">
      <c r="A73" s="245" t="s">
        <v>5</v>
      </c>
      <c r="B73" s="246"/>
      <c r="C73" s="222"/>
      <c r="D73" s="246"/>
      <c r="E73" s="246"/>
      <c r="F73" s="222"/>
      <c r="G73" s="246"/>
      <c r="H73" s="246"/>
      <c r="I73" s="216"/>
      <c r="J73" s="246"/>
      <c r="K73" s="216"/>
      <c r="L73" s="246"/>
      <c r="M73" s="216"/>
      <c r="N73" s="246"/>
    </row>
    <row r="74" spans="1:24" s="4" customFormat="1" ht="10.199999999999999">
      <c r="A74" s="220" t="s">
        <v>105</v>
      </c>
      <c r="B74" s="239"/>
      <c r="C74" s="222"/>
      <c r="D74" s="239"/>
      <c r="E74" s="239">
        <v>112.2</v>
      </c>
      <c r="F74" s="222">
        <f t="shared" ref="F74:F101" si="9">IF((+E74/G74)&lt;0,"n.m.",IF(E74&lt;0,(+E74/G74-1)*-1,(+E74/G74-1)))</f>
        <v>-0.59622858787966027</v>
      </c>
      <c r="G74" s="239">
        <v>277.88</v>
      </c>
      <c r="H74" s="239">
        <v>94.86999999999999</v>
      </c>
      <c r="I74" s="240">
        <f t="shared" ref="I74:I100" si="10">IF((+H74/J74)&lt;0,"n.m.",IF(H74&lt;0,(+H74/J74-1)*-1,(+H74/J74-1)))</f>
        <v>-0.47862167509342712</v>
      </c>
      <c r="J74" s="239">
        <v>181.95999999999998</v>
      </c>
      <c r="K74" s="222"/>
      <c r="L74" s="223"/>
      <c r="M74" s="222"/>
      <c r="N74" s="224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s="4" customFormat="1" ht="10.199999999999999">
      <c r="A75" s="220" t="s">
        <v>106</v>
      </c>
      <c r="B75" s="239"/>
      <c r="C75" s="222"/>
      <c r="D75" s="239"/>
      <c r="E75" s="239">
        <v>1233.1300000000001</v>
      </c>
      <c r="F75" s="222">
        <f t="shared" si="9"/>
        <v>-4.9764585307965459E-2</v>
      </c>
      <c r="G75" s="239">
        <v>1297.71</v>
      </c>
      <c r="H75" s="239">
        <v>1017.35</v>
      </c>
      <c r="I75" s="240">
        <f t="shared" si="10"/>
        <v>-6.4858306293719248E-2</v>
      </c>
      <c r="J75" s="239">
        <v>1087.9100000000001</v>
      </c>
      <c r="K75" s="222"/>
      <c r="L75" s="223"/>
      <c r="M75" s="222"/>
      <c r="N75" s="224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s="4" customFormat="1" ht="10.199999999999999">
      <c r="A76" s="220" t="s">
        <v>107</v>
      </c>
      <c r="B76" s="239"/>
      <c r="C76" s="222"/>
      <c r="D76" s="239"/>
      <c r="E76" s="239">
        <v>9.89</v>
      </c>
      <c r="F76" s="222">
        <f t="shared" si="9"/>
        <v>-0.82272808747087289</v>
      </c>
      <c r="G76" s="239">
        <v>55.79</v>
      </c>
      <c r="H76" s="239">
        <v>17.32</v>
      </c>
      <c r="I76" s="240">
        <f t="shared" si="10"/>
        <v>-0.67565543071161049</v>
      </c>
      <c r="J76" s="239">
        <v>53.4</v>
      </c>
      <c r="K76" s="222"/>
      <c r="L76" s="223"/>
      <c r="M76" s="222"/>
      <c r="N76" s="224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s="4" customFormat="1" ht="10.199999999999999">
      <c r="A77" s="220" t="s">
        <v>108</v>
      </c>
      <c r="B77" s="239"/>
      <c r="C77" s="222"/>
      <c r="D77" s="239"/>
      <c r="E77" s="239">
        <v>406.47</v>
      </c>
      <c r="F77" s="222">
        <f t="shared" si="9"/>
        <v>-8.9061204365657343E-2</v>
      </c>
      <c r="G77" s="239">
        <v>446.21</v>
      </c>
      <c r="H77" s="239">
        <v>335.66</v>
      </c>
      <c r="I77" s="240">
        <f t="shared" si="10"/>
        <v>-5.6737389349444944E-2</v>
      </c>
      <c r="J77" s="239">
        <v>355.85</v>
      </c>
      <c r="K77" s="222"/>
      <c r="L77" s="223"/>
      <c r="M77" s="222"/>
      <c r="N77" s="224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s="13" customFormat="1" ht="10.199999999999999">
      <c r="A78" s="220" t="s">
        <v>109</v>
      </c>
      <c r="B78" s="239"/>
      <c r="C78" s="222"/>
      <c r="D78" s="239"/>
      <c r="E78" s="239">
        <v>273.77</v>
      </c>
      <c r="F78" s="222">
        <f t="shared" si="9"/>
        <v>-0.51402350268044172</v>
      </c>
      <c r="G78" s="239">
        <v>563.34</v>
      </c>
      <c r="H78" s="239">
        <v>485.57</v>
      </c>
      <c r="I78" s="240">
        <f t="shared" si="10"/>
        <v>-0.13315838331905161</v>
      </c>
      <c r="J78" s="239">
        <v>560.16</v>
      </c>
      <c r="K78" s="222"/>
      <c r="L78" s="223"/>
      <c r="M78" s="222"/>
      <c r="N78" s="224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s="13" customFormat="1" ht="10.199999999999999">
      <c r="A79" s="220" t="s">
        <v>110</v>
      </c>
      <c r="B79" s="239"/>
      <c r="C79" s="222"/>
      <c r="D79" s="239"/>
      <c r="E79" s="239">
        <v>466.15</v>
      </c>
      <c r="F79" s="222">
        <f t="shared" si="9"/>
        <v>-0.14552553433295445</v>
      </c>
      <c r="G79" s="239">
        <v>545.54</v>
      </c>
      <c r="H79" s="239">
        <v>617.99</v>
      </c>
      <c r="I79" s="240">
        <f t="shared" si="10"/>
        <v>1.9127115049252956</v>
      </c>
      <c r="J79" s="239">
        <v>212.17000000000002</v>
      </c>
      <c r="K79" s="222"/>
      <c r="L79" s="223"/>
      <c r="M79" s="222"/>
      <c r="N79" s="224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s="13" customFormat="1" ht="10.199999999999999">
      <c r="A80" s="220" t="s">
        <v>111</v>
      </c>
      <c r="B80" s="239"/>
      <c r="C80" s="222"/>
      <c r="D80" s="239"/>
      <c r="E80" s="239">
        <v>513.59</v>
      </c>
      <c r="F80" s="222">
        <f t="shared" si="9"/>
        <v>-0.19114589895426481</v>
      </c>
      <c r="G80" s="239">
        <v>634.96</v>
      </c>
      <c r="H80" s="239">
        <v>526.57000000000005</v>
      </c>
      <c r="I80" s="240">
        <f t="shared" si="10"/>
        <v>0.20078901760467049</v>
      </c>
      <c r="J80" s="239">
        <v>438.52</v>
      </c>
      <c r="K80" s="222"/>
      <c r="L80" s="223"/>
      <c r="M80" s="222"/>
      <c r="N80" s="224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s="13" customFormat="1" ht="10.199999999999999">
      <c r="A81" s="220" t="s">
        <v>112</v>
      </c>
      <c r="B81" s="239"/>
      <c r="C81" s="222"/>
      <c r="D81" s="239"/>
      <c r="E81" s="239">
        <v>483.6</v>
      </c>
      <c r="F81" s="222">
        <f t="shared" si="9"/>
        <v>4.3343185691786745E-2</v>
      </c>
      <c r="G81" s="239">
        <v>463.51</v>
      </c>
      <c r="H81" s="239">
        <v>490.17</v>
      </c>
      <c r="I81" s="240">
        <f t="shared" si="10"/>
        <v>0.63422684536907381</v>
      </c>
      <c r="J81" s="239">
        <v>299.94</v>
      </c>
      <c r="K81" s="222"/>
      <c r="L81" s="223"/>
      <c r="M81" s="222"/>
      <c r="N81" s="224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s="13" customFormat="1" ht="10.199999999999999">
      <c r="A82" s="220" t="s">
        <v>113</v>
      </c>
      <c r="B82" s="239"/>
      <c r="C82" s="222"/>
      <c r="D82" s="239"/>
      <c r="E82" s="239">
        <v>42.06</v>
      </c>
      <c r="F82" s="222">
        <f t="shared" si="9"/>
        <v>-0.21176911544227883</v>
      </c>
      <c r="G82" s="239">
        <v>53.36</v>
      </c>
      <c r="H82" s="239">
        <v>48.25</v>
      </c>
      <c r="I82" s="240">
        <f t="shared" si="10"/>
        <v>-0.35468770897418744</v>
      </c>
      <c r="J82" s="239">
        <v>74.77</v>
      </c>
      <c r="K82" s="222"/>
      <c r="L82" s="223"/>
      <c r="M82" s="222"/>
      <c r="N82" s="224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s="13" customFormat="1" ht="10.199999999999999">
      <c r="A83" s="220" t="s">
        <v>114</v>
      </c>
      <c r="B83" s="239"/>
      <c r="C83" s="222"/>
      <c r="D83" s="239"/>
      <c r="E83" s="239">
        <v>74.08</v>
      </c>
      <c r="F83" s="222">
        <f t="shared" si="9"/>
        <v>-0.48426622110832629</v>
      </c>
      <c r="G83" s="239">
        <v>143.63999999999999</v>
      </c>
      <c r="H83" s="239">
        <v>112.87</v>
      </c>
      <c r="I83" s="240">
        <f t="shared" si="10"/>
        <v>-0.24938485070160266</v>
      </c>
      <c r="J83" s="239">
        <v>150.37</v>
      </c>
      <c r="K83" s="222"/>
      <c r="L83" s="223"/>
      <c r="M83" s="222"/>
      <c r="N83" s="224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s="13" customFormat="1" ht="10.199999999999999">
      <c r="A84" s="220" t="s">
        <v>115</v>
      </c>
      <c r="B84" s="239"/>
      <c r="C84" s="222"/>
      <c r="D84" s="239"/>
      <c r="E84" s="239">
        <v>36.880000000000003</v>
      </c>
      <c r="F84" s="222">
        <f t="shared" si="9"/>
        <v>1.0109051254089425</v>
      </c>
      <c r="G84" s="239">
        <v>18.34</v>
      </c>
      <c r="H84" s="239">
        <v>23.97</v>
      </c>
      <c r="I84" s="240">
        <f t="shared" si="10"/>
        <v>0.11957029425502097</v>
      </c>
      <c r="J84" s="239">
        <v>21.41</v>
      </c>
      <c r="K84" s="222"/>
      <c r="L84" s="223"/>
      <c r="M84" s="222"/>
      <c r="N84" s="224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s="13" customFormat="1" ht="10.199999999999999">
      <c r="A85" s="220" t="s">
        <v>116</v>
      </c>
      <c r="B85" s="239"/>
      <c r="C85" s="222"/>
      <c r="D85" s="239"/>
      <c r="E85" s="239">
        <v>13.98</v>
      </c>
      <c r="F85" s="222">
        <f t="shared" si="9"/>
        <v>-0.54477368935200254</v>
      </c>
      <c r="G85" s="239">
        <v>30.71</v>
      </c>
      <c r="H85" s="239">
        <v>14.32</v>
      </c>
      <c r="I85" s="240">
        <f t="shared" si="10"/>
        <v>-0.58933180384284478</v>
      </c>
      <c r="J85" s="239">
        <v>34.869999999999997</v>
      </c>
      <c r="K85" s="222"/>
      <c r="L85" s="223"/>
      <c r="M85" s="222"/>
      <c r="N85" s="224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s="13" customFormat="1" ht="10.199999999999999">
      <c r="A86" s="220" t="s">
        <v>117</v>
      </c>
      <c r="B86" s="239"/>
      <c r="C86" s="222"/>
      <c r="D86" s="239"/>
      <c r="E86" s="239">
        <v>288.16000000000003</v>
      </c>
      <c r="F86" s="222">
        <f t="shared" si="9"/>
        <v>0.14690547263681597</v>
      </c>
      <c r="G86" s="239">
        <v>251.25</v>
      </c>
      <c r="H86" s="239">
        <v>145.43</v>
      </c>
      <c r="I86" s="240">
        <f t="shared" si="10"/>
        <v>-8.1185241344452819E-2</v>
      </c>
      <c r="J86" s="241">
        <v>158.28</v>
      </c>
      <c r="K86" s="222"/>
      <c r="L86" s="223"/>
      <c r="M86" s="222"/>
      <c r="N86" s="224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s="13" customFormat="1" ht="10.199999999999999">
      <c r="A87" s="220" t="s">
        <v>118</v>
      </c>
      <c r="B87" s="241"/>
      <c r="C87" s="222"/>
      <c r="D87" s="241"/>
      <c r="E87" s="241">
        <v>15.61</v>
      </c>
      <c r="F87" s="222">
        <f t="shared" si="9"/>
        <v>3.9088050314465406</v>
      </c>
      <c r="G87" s="241">
        <v>3.18</v>
      </c>
      <c r="H87" s="241">
        <v>16.14</v>
      </c>
      <c r="I87" s="240">
        <f t="shared" si="10"/>
        <v>1.7171717171717171</v>
      </c>
      <c r="J87" s="239">
        <v>5.94</v>
      </c>
      <c r="K87" s="222"/>
      <c r="L87" s="226"/>
      <c r="M87" s="222"/>
      <c r="N87" s="227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s="13" customFormat="1" ht="10.199999999999999">
      <c r="A88" s="220" t="s">
        <v>119</v>
      </c>
      <c r="B88" s="239"/>
      <c r="C88" s="222"/>
      <c r="D88" s="239"/>
      <c r="E88" s="239">
        <v>0</v>
      </c>
      <c r="F88" s="222">
        <f t="shared" si="9"/>
        <v>-1</v>
      </c>
      <c r="G88" s="239">
        <v>15.79</v>
      </c>
      <c r="H88" s="239">
        <v>0</v>
      </c>
      <c r="I88" s="240"/>
      <c r="J88" s="239">
        <v>0</v>
      </c>
      <c r="K88" s="222"/>
      <c r="L88" s="223"/>
      <c r="M88" s="222"/>
      <c r="N88" s="224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s="4" customFormat="1" ht="10.199999999999999">
      <c r="A89" s="220" t="s">
        <v>120</v>
      </c>
      <c r="B89" s="239"/>
      <c r="C89" s="222"/>
      <c r="D89" s="239"/>
      <c r="E89" s="239">
        <v>2.17</v>
      </c>
      <c r="F89" s="222">
        <f t="shared" si="9"/>
        <v>-0.5685884691848907</v>
      </c>
      <c r="G89" s="239">
        <v>5.03</v>
      </c>
      <c r="H89" s="239">
        <v>1.97</v>
      </c>
      <c r="I89" s="240">
        <f t="shared" si="10"/>
        <v>0.85849056603773577</v>
      </c>
      <c r="J89" s="239">
        <v>1.06</v>
      </c>
      <c r="K89" s="222"/>
      <c r="L89" s="223"/>
      <c r="M89" s="222"/>
      <c r="N89" s="224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s="13" customFormat="1" ht="10.199999999999999">
      <c r="A90" s="220" t="s">
        <v>121</v>
      </c>
      <c r="B90" s="239"/>
      <c r="C90" s="222"/>
      <c r="D90" s="239"/>
      <c r="E90" s="239">
        <v>0</v>
      </c>
      <c r="F90" s="222">
        <f t="shared" si="9"/>
        <v>-1</v>
      </c>
      <c r="G90" s="239">
        <v>3.21</v>
      </c>
      <c r="H90" s="239">
        <v>0</v>
      </c>
      <c r="I90" s="240"/>
      <c r="J90" s="239">
        <v>0</v>
      </c>
      <c r="K90" s="222"/>
      <c r="L90" s="223"/>
      <c r="M90" s="222"/>
      <c r="N90" s="224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 s="13" customFormat="1" ht="10.199999999999999">
      <c r="A91" s="220" t="s">
        <v>122</v>
      </c>
      <c r="B91" s="239"/>
      <c r="C91" s="222"/>
      <c r="D91" s="239"/>
      <c r="E91" s="239">
        <v>152.63999999999999</v>
      </c>
      <c r="F91" s="222">
        <f t="shared" si="9"/>
        <v>5.5747682943698695E-2</v>
      </c>
      <c r="G91" s="239">
        <v>144.58000000000001</v>
      </c>
      <c r="H91" s="239">
        <v>164.12</v>
      </c>
      <c r="I91" s="240">
        <f t="shared" si="10"/>
        <v>0.43725369997372798</v>
      </c>
      <c r="J91" s="239">
        <v>114.19</v>
      </c>
      <c r="K91" s="222"/>
      <c r="L91" s="223"/>
      <c r="M91" s="222"/>
      <c r="N91" s="224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 s="13" customFormat="1" ht="10.199999999999999">
      <c r="A92" s="220" t="s">
        <v>123</v>
      </c>
      <c r="B92" s="239"/>
      <c r="C92" s="222"/>
      <c r="D92" s="239"/>
      <c r="E92" s="239">
        <v>3.16</v>
      </c>
      <c r="F92" s="222">
        <f t="shared" si="9"/>
        <v>-0.84207896051974007</v>
      </c>
      <c r="G92" s="239">
        <v>20.010000000000002</v>
      </c>
      <c r="H92" s="239">
        <v>10.72</v>
      </c>
      <c r="I92" s="240">
        <f t="shared" si="10"/>
        <v>-0.61782531194295898</v>
      </c>
      <c r="J92" s="239">
        <v>28.05</v>
      </c>
      <c r="K92" s="222"/>
      <c r="L92" s="223"/>
      <c r="M92" s="222"/>
      <c r="N92" s="224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 s="13" customFormat="1" ht="10.199999999999999">
      <c r="A93" s="220" t="s">
        <v>124</v>
      </c>
      <c r="B93" s="239"/>
      <c r="C93" s="222"/>
      <c r="D93" s="239"/>
      <c r="E93" s="239">
        <v>0.02</v>
      </c>
      <c r="F93" s="222">
        <f t="shared" si="9"/>
        <v>-0.98399999999999999</v>
      </c>
      <c r="G93" s="239">
        <v>1.25</v>
      </c>
      <c r="H93" s="239">
        <v>0.1</v>
      </c>
      <c r="I93" s="240">
        <f t="shared" si="10"/>
        <v>-0.92</v>
      </c>
      <c r="J93" s="242">
        <v>1.25</v>
      </c>
      <c r="K93" s="228"/>
      <c r="L93" s="223"/>
      <c r="M93" s="228"/>
      <c r="N93" s="224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s="13" customFormat="1" ht="10.199999999999999">
      <c r="A94" s="220" t="s">
        <v>125</v>
      </c>
      <c r="B94" s="242"/>
      <c r="C94" s="222"/>
      <c r="D94" s="242"/>
      <c r="E94" s="242">
        <v>4.82</v>
      </c>
      <c r="F94" s="222">
        <f t="shared" si="9"/>
        <v>-0.70752427184466016</v>
      </c>
      <c r="G94" s="242">
        <v>16.48</v>
      </c>
      <c r="H94" s="242">
        <v>8.91</v>
      </c>
      <c r="I94" s="240">
        <f t="shared" si="10"/>
        <v>-0.59053308823529416</v>
      </c>
      <c r="J94" s="242">
        <v>21.76</v>
      </c>
      <c r="K94" s="222"/>
      <c r="L94" s="230"/>
      <c r="M94" s="222"/>
      <c r="N94" s="22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 s="13" customFormat="1" ht="10.199999999999999">
      <c r="A95" s="220" t="s">
        <v>126</v>
      </c>
      <c r="B95" s="242"/>
      <c r="C95" s="222"/>
      <c r="D95" s="242"/>
      <c r="E95" s="242">
        <v>8.2200000000000006</v>
      </c>
      <c r="F95" s="222">
        <f t="shared" si="9"/>
        <v>-0.33922829581993563</v>
      </c>
      <c r="G95" s="242">
        <v>12.44</v>
      </c>
      <c r="H95" s="242">
        <v>10.01</v>
      </c>
      <c r="I95" s="240">
        <f t="shared" si="10"/>
        <v>1.7651933701657456</v>
      </c>
      <c r="J95" s="243">
        <v>3.62</v>
      </c>
      <c r="K95" s="222"/>
      <c r="L95" s="230"/>
      <c r="M95" s="222"/>
      <c r="N95" s="22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 s="13" customFormat="1" ht="10.199999999999999">
      <c r="A96" s="227" t="s">
        <v>105</v>
      </c>
      <c r="B96" s="243"/>
      <c r="C96" s="222"/>
      <c r="D96" s="243"/>
      <c r="E96" s="243">
        <f>E74</f>
        <v>112.2</v>
      </c>
      <c r="F96" s="222">
        <f t="shared" si="9"/>
        <v>-0.59622858787966027</v>
      </c>
      <c r="G96" s="243">
        <f>G74</f>
        <v>277.88</v>
      </c>
      <c r="H96" s="243">
        <f>H74</f>
        <v>94.86999999999999</v>
      </c>
      <c r="I96" s="240">
        <f t="shared" si="10"/>
        <v>-0.47862167509342712</v>
      </c>
      <c r="J96" s="243">
        <f>J74</f>
        <v>181.95999999999998</v>
      </c>
      <c r="K96" s="222"/>
      <c r="L96" s="232"/>
      <c r="M96" s="222"/>
      <c r="N96" s="22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 s="13" customFormat="1" ht="10.199999999999999">
      <c r="A97" s="227" t="s">
        <v>106</v>
      </c>
      <c r="B97" s="243"/>
      <c r="C97" s="222"/>
      <c r="D97" s="243"/>
      <c r="E97" s="243">
        <f>E75</f>
        <v>1233.1300000000001</v>
      </c>
      <c r="F97" s="222">
        <f t="shared" si="9"/>
        <v>-4.9764585307965459E-2</v>
      </c>
      <c r="G97" s="243">
        <f>G75</f>
        <v>1297.71</v>
      </c>
      <c r="H97" s="243">
        <f>H75</f>
        <v>1017.35</v>
      </c>
      <c r="I97" s="240">
        <f t="shared" si="10"/>
        <v>-6.4858306293719248E-2</v>
      </c>
      <c r="J97" s="243">
        <f>J75</f>
        <v>1087.9100000000001</v>
      </c>
      <c r="K97" s="222"/>
      <c r="L97" s="232"/>
      <c r="M97" s="222"/>
      <c r="N97" s="22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1:24" s="4" customFormat="1" ht="10.199999999999999">
      <c r="A98" s="227" t="s">
        <v>127</v>
      </c>
      <c r="B98" s="241"/>
      <c r="C98" s="222"/>
      <c r="D98" s="241"/>
      <c r="E98" s="241">
        <f>E76+E77+E78+E79+E80+E81+E82+E83+E84+E85</f>
        <v>2320.4699999999998</v>
      </c>
      <c r="F98" s="222">
        <f t="shared" si="9"/>
        <v>-0.21483724707315444</v>
      </c>
      <c r="G98" s="241">
        <f>G76+G77+G78+G79+G80+G81+G82+G83+G84+G85</f>
        <v>2955.4000000000005</v>
      </c>
      <c r="H98" s="241">
        <f>H76+H77+H78+H79+H80+H81+H82+H83+H84+H85</f>
        <v>2672.69</v>
      </c>
      <c r="I98" s="240">
        <f t="shared" si="10"/>
        <v>0.21405340092484115</v>
      </c>
      <c r="J98" s="241">
        <f>J76+J77+J78+J79+J80+J81+J82+J83+J84+J85</f>
        <v>2201.4599999999996</v>
      </c>
      <c r="K98" s="222"/>
      <c r="L98" s="226"/>
      <c r="M98" s="222"/>
      <c r="N98" s="233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s="4" customFormat="1" ht="10.199999999999999">
      <c r="A99" s="227" t="s">
        <v>128</v>
      </c>
      <c r="B99" s="241"/>
      <c r="C99" s="222"/>
      <c r="D99" s="241"/>
      <c r="E99" s="241">
        <f>E86+E87+E88+E89+E90+E91</f>
        <v>458.58000000000004</v>
      </c>
      <c r="F99" s="222">
        <f t="shared" si="9"/>
        <v>8.4010968229954797E-2</v>
      </c>
      <c r="G99" s="241">
        <f>G86+G87+G88+G89+G90+G91</f>
        <v>423.03999999999996</v>
      </c>
      <c r="H99" s="324">
        <f>H86+H87+H88+H89+H90+H91</f>
        <v>327.65999999999997</v>
      </c>
      <c r="I99" s="240">
        <f t="shared" si="10"/>
        <v>0.17243353490535629</v>
      </c>
      <c r="J99" s="324">
        <f>J86+J87+J88+J89+J90+J91</f>
        <v>279.47000000000003</v>
      </c>
      <c r="K99" s="222"/>
      <c r="L99" s="226"/>
      <c r="M99" s="222"/>
      <c r="N99" s="233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s="13" customFormat="1" ht="10.199999999999999">
      <c r="A100" s="227" t="s">
        <v>129</v>
      </c>
      <c r="B100" s="241"/>
      <c r="C100" s="222"/>
      <c r="D100" s="241"/>
      <c r="E100" s="241">
        <f>E92+E93+E94+E95</f>
        <v>16.22</v>
      </c>
      <c r="F100" s="222">
        <f t="shared" si="9"/>
        <v>-0.67676365085691514</v>
      </c>
      <c r="G100" s="241">
        <f>G92+G93+G94+G95</f>
        <v>50.18</v>
      </c>
      <c r="H100" s="325">
        <f>H92+H93+H94+H95</f>
        <v>29.740000000000002</v>
      </c>
      <c r="I100" s="326">
        <f t="shared" si="10"/>
        <v>-0.4561082662765179</v>
      </c>
      <c r="J100" s="325">
        <f>J92+J93+J94+J95</f>
        <v>54.68</v>
      </c>
      <c r="K100" s="222"/>
      <c r="L100" s="226"/>
      <c r="M100" s="222"/>
      <c r="N100" s="233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spans="1:24" s="213" customFormat="1" ht="10.199999999999999" customHeight="1">
      <c r="A101" s="209" t="s">
        <v>134</v>
      </c>
      <c r="B101" s="210"/>
      <c r="C101" s="211"/>
      <c r="D101" s="210"/>
      <c r="E101" s="210">
        <f>SUM(E96:E100)</f>
        <v>4140.6000000000004</v>
      </c>
      <c r="F101" s="211">
        <f t="shared" si="9"/>
        <v>-0.17257669042666079</v>
      </c>
      <c r="G101" s="210">
        <f>SUM(G96:G100)</f>
        <v>5004.2100000000009</v>
      </c>
      <c r="H101" s="210">
        <f>SUM(H96:H100)</f>
        <v>4142.3099999999995</v>
      </c>
      <c r="I101" s="327">
        <f t="shared" ref="I101" si="11">IF((+H101/J101)&lt;0,"n.m.",IF(H101&lt;0,(+H101/J101-1)*-1,(+H101/J101-1)))</f>
        <v>8.8511830307871575E-2</v>
      </c>
      <c r="J101" s="210">
        <f>SUM(J96:J100)</f>
        <v>3805.48</v>
      </c>
      <c r="K101" s="211">
        <f>(J101-L101)/L101</f>
        <v>-0.12034802548241839</v>
      </c>
      <c r="L101" s="210">
        <v>4326.12</v>
      </c>
      <c r="M101" s="211">
        <f>(L101-N101)/N101</f>
        <v>-6.897286408801287E-2</v>
      </c>
      <c r="N101" s="210">
        <v>4646.6100000000015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&amp;A</oddHeader>
  </headerFooter>
  <rowBreaks count="2" manualBreakCount="2">
    <brk id="42" max="14" man="1"/>
    <brk id="7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4"/>
  <sheetViews>
    <sheetView view="pageBreakPreview" zoomScaleNormal="100" zoomScaleSheetLayoutView="100" workbookViewId="0">
      <pane xSplit="1" ySplit="1" topLeftCell="B2" activePane="bottomRight" state="frozen"/>
      <selection activeCell="C35" sqref="C35"/>
      <selection pane="topRight" activeCell="C35" sqref="C35"/>
      <selection pane="bottomLeft" activeCell="C35" sqref="C35"/>
      <selection pane="bottomRight" activeCell="H18" sqref="H18"/>
    </sheetView>
  </sheetViews>
  <sheetFormatPr baseColWidth="10" defaultColWidth="20.6640625" defaultRowHeight="12" customHeight="1" outlineLevelRow="1"/>
  <cols>
    <col min="1" max="1" width="20.6640625" style="159" customWidth="1"/>
    <col min="2" max="11" width="10.88671875" style="116" customWidth="1"/>
    <col min="12" max="14" width="10.88671875" style="160" customWidth="1"/>
    <col min="15" max="16384" width="20.6640625" style="159"/>
  </cols>
  <sheetData>
    <row r="1" spans="1:25" s="158" customFormat="1" ht="24.75" customHeight="1">
      <c r="A1" s="113" t="s">
        <v>141</v>
      </c>
      <c r="B1" s="2" t="s">
        <v>152</v>
      </c>
      <c r="C1" s="2" t="s">
        <v>153</v>
      </c>
      <c r="D1" s="2" t="s">
        <v>156</v>
      </c>
      <c r="E1" s="2" t="s">
        <v>149</v>
      </c>
      <c r="F1" s="2" t="s">
        <v>150</v>
      </c>
      <c r="G1" s="2" t="s">
        <v>151</v>
      </c>
      <c r="H1" s="2">
        <v>2014</v>
      </c>
      <c r="I1" s="2" t="s">
        <v>1</v>
      </c>
      <c r="J1" s="2">
        <v>2013</v>
      </c>
      <c r="K1" s="2" t="s">
        <v>2</v>
      </c>
      <c r="L1" s="2">
        <v>2012</v>
      </c>
      <c r="M1" s="2" t="s">
        <v>3</v>
      </c>
      <c r="N1" s="2">
        <v>2011</v>
      </c>
    </row>
    <row r="2" spans="1:25" ht="3" hidden="1" customHeight="1" outlineLevel="1"/>
    <row r="3" spans="1:25" s="165" customFormat="1" ht="10.199999999999999" customHeight="1" collapsed="1">
      <c r="A3" s="161" t="s">
        <v>4</v>
      </c>
      <c r="B3" s="162">
        <v>822.67</v>
      </c>
      <c r="C3" s="163">
        <f>IF((+B3/D3)&lt;0,"n.m.",IF(B3&lt;0,(+B3/D3-1)*-1,(+B3/D3-1)))</f>
        <v>0.20810326597744355</v>
      </c>
      <c r="D3" s="162">
        <v>680.96</v>
      </c>
      <c r="E3" s="162">
        <f>E71</f>
        <v>1506.16</v>
      </c>
      <c r="F3" s="163">
        <f>IF((+E3/G3)&lt;0,"n.m.",IF(E3&lt;0,(+E3/G3-1)*-1,(+E3/G3-1)))</f>
        <v>0.18041317909652332</v>
      </c>
      <c r="G3" s="162">
        <f>G71</f>
        <v>1275.96</v>
      </c>
      <c r="H3" s="162">
        <f>H71</f>
        <v>2970.14</v>
      </c>
      <c r="I3" s="298">
        <f t="shared" ref="I3:I7" si="0">IF((+H3/J3)&lt;0,"n.m.",IF(H3&lt;0,(+H3/J3-1)*-1,(+H3/J3-1)))</f>
        <v>5.2341793006685844E-2</v>
      </c>
      <c r="J3" s="162">
        <f>J71</f>
        <v>2822.41</v>
      </c>
      <c r="K3" s="164">
        <f>(J3-L3)/L3</f>
        <v>-3.5027317546822694E-2</v>
      </c>
      <c r="L3" s="162">
        <v>2924.8599999999997</v>
      </c>
      <c r="M3" s="164">
        <v>1.5735097497872941E-2</v>
      </c>
      <c r="N3" s="162">
        <v>2879.5499999999997</v>
      </c>
    </row>
    <row r="4" spans="1:25" s="165" customFormat="1" ht="10.199999999999999" customHeight="1">
      <c r="A4" s="161" t="s">
        <v>5</v>
      </c>
      <c r="B4" s="162"/>
      <c r="C4" s="163"/>
      <c r="D4" s="162"/>
      <c r="E4" s="162">
        <f>E101</f>
        <v>4676.12</v>
      </c>
      <c r="F4" s="163">
        <f>IF((+E4/G4)&lt;0,"n.m.",IF(E4&lt;0,(+E4/G4-1)*-1,(+E4/G4-1)))</f>
        <v>5.6170283889299011E-2</v>
      </c>
      <c r="G4" s="162">
        <f>G101</f>
        <v>4427.43</v>
      </c>
      <c r="H4" s="162">
        <f>H101</f>
        <v>4571.21</v>
      </c>
      <c r="I4" s="298">
        <f t="shared" si="0"/>
        <v>8.7792817232549947E-2</v>
      </c>
      <c r="J4" s="162">
        <f>J101</f>
        <v>4202.28</v>
      </c>
      <c r="K4" s="164">
        <f>(J4-L4)/L4</f>
        <v>4.059846520715242E-2</v>
      </c>
      <c r="L4" s="162">
        <v>4038.33</v>
      </c>
      <c r="M4" s="164">
        <v>6.7708553661322446E-2</v>
      </c>
      <c r="N4" s="162">
        <v>3782.24</v>
      </c>
    </row>
    <row r="5" spans="1:25" s="165" customFormat="1" ht="10.199999999999999" customHeight="1">
      <c r="A5" s="161" t="s">
        <v>6</v>
      </c>
      <c r="B5" s="162">
        <v>702.63</v>
      </c>
      <c r="C5" s="163">
        <f>IF((+B5/D5)&lt;0,"n.m.",IF(B5&lt;0,(+B5/D5-1)*-1,(+B5/D5-1)))</f>
        <v>0.19753549332742493</v>
      </c>
      <c r="D5" s="162">
        <v>586.73</v>
      </c>
      <c r="E5" s="162">
        <v>1356.36</v>
      </c>
      <c r="F5" s="163">
        <f>IF((+E5/G5)&lt;0,"n.m.",IF(E5&lt;0,(+E5/G5-1)*-1,(+E5/G5-1)))</f>
        <v>0.20277735902597338</v>
      </c>
      <c r="G5" s="162">
        <v>1127.69</v>
      </c>
      <c r="H5" s="162">
        <v>2738.4349999999999</v>
      </c>
      <c r="I5" s="298">
        <f t="shared" si="0"/>
        <v>0.12022461476408042</v>
      </c>
      <c r="J5" s="162">
        <v>2444.5410000000002</v>
      </c>
      <c r="K5" s="164">
        <f>(J5-L5)/L5</f>
        <v>-8.1445778967508917E-2</v>
      </c>
      <c r="L5" s="162">
        <v>2661.2919999999999</v>
      </c>
      <c r="M5" s="164">
        <v>-6.3691542554613845E-2</v>
      </c>
      <c r="N5" s="162">
        <v>2842.3240000000001</v>
      </c>
    </row>
    <row r="6" spans="1:25" s="165" customFormat="1" ht="10.199999999999999" customHeight="1">
      <c r="A6" s="161" t="s">
        <v>136</v>
      </c>
      <c r="B6" s="162">
        <v>17.309999999999999</v>
      </c>
      <c r="C6" s="163">
        <f>IF((+B6/D6)&lt;0,"n.m.",IF(B6&lt;0,(+B6/D6-1)*-1,(+B6/D6-1)))</f>
        <v>-0.15313111545988267</v>
      </c>
      <c r="D6" s="162">
        <v>20.440000000000001</v>
      </c>
      <c r="E6" s="162">
        <v>-2.38</v>
      </c>
      <c r="F6" s="163">
        <f>IF((+E6/G6)&lt;0,"n.m.",IF(E6&lt;0,(+E6/G6-1)*-1,(+E6/G6-1)))</f>
        <v>-1.8333333333333335</v>
      </c>
      <c r="G6" s="162">
        <v>-0.84</v>
      </c>
      <c r="H6" s="162">
        <v>92.180999999999997</v>
      </c>
      <c r="I6" s="298">
        <f t="shared" si="0"/>
        <v>0.32491555874955069</v>
      </c>
      <c r="J6" s="162">
        <v>69.575000000000003</v>
      </c>
      <c r="K6" s="164">
        <f>(J6-L6)/L6</f>
        <v>-0.45187618664964985</v>
      </c>
      <c r="L6" s="162">
        <v>126.93300000000001</v>
      </c>
      <c r="M6" s="164">
        <f>(L6/N6)-1</f>
        <v>1.1505319869883439</v>
      </c>
      <c r="N6" s="162">
        <v>59.024000000000001</v>
      </c>
    </row>
    <row r="7" spans="1:25" s="165" customFormat="1" ht="10.199999999999999" customHeight="1">
      <c r="A7" s="161" t="s">
        <v>146</v>
      </c>
      <c r="B7" s="162">
        <v>17.309999999999999</v>
      </c>
      <c r="C7" s="163">
        <f>IF((+B7/D7)&lt;0,"n.m.",IF(B7&lt;0,(+B7/D7-1)*-1,(+B7/D7-1)))</f>
        <v>-0.15313111545988267</v>
      </c>
      <c r="D7" s="162">
        <v>20.440000000000001</v>
      </c>
      <c r="E7" s="162">
        <v>-2.38</v>
      </c>
      <c r="F7" s="163">
        <f>IF((+E7/G7)&lt;0,"n.m.",IF(E7&lt;0,(+E7/G7-1)*-1,(+E7/G7-1)))</f>
        <v>-1.8333333333333335</v>
      </c>
      <c r="G7" s="162">
        <v>-0.84</v>
      </c>
      <c r="H7" s="162">
        <v>92.180999999999997</v>
      </c>
      <c r="I7" s="298">
        <f t="shared" si="0"/>
        <v>0.32491555874955069</v>
      </c>
      <c r="J7" s="162">
        <v>69.575000000000003</v>
      </c>
      <c r="K7" s="164">
        <f>(J7-L7)/L7</f>
        <v>-0.45187618664964985</v>
      </c>
      <c r="L7" s="162">
        <v>126.93300000000001</v>
      </c>
      <c r="M7" s="164">
        <f>(L7/N7)-1</f>
        <v>1.1505319869883439</v>
      </c>
      <c r="N7" s="162">
        <v>59.024000000000001</v>
      </c>
    </row>
    <row r="8" spans="1:25" ht="10.199999999999999" customHeight="1">
      <c r="A8" s="166" t="s">
        <v>137</v>
      </c>
      <c r="B8" s="167">
        <f>B6/B5</f>
        <v>2.4636010418000939E-2</v>
      </c>
      <c r="C8" s="164"/>
      <c r="D8" s="167">
        <f>D6/D5</f>
        <v>3.4837148262403493E-2</v>
      </c>
      <c r="E8" s="167">
        <f>E6/E5</f>
        <v>-1.7546963932879177E-3</v>
      </c>
      <c r="F8" s="164"/>
      <c r="G8" s="167">
        <f>G6/G5</f>
        <v>-7.4488556252161494E-4</v>
      </c>
      <c r="H8" s="167">
        <f>H6/H5</f>
        <v>3.3661927341711598E-2</v>
      </c>
      <c r="I8" s="167"/>
      <c r="J8" s="167">
        <f>J6/J5</f>
        <v>2.8461375775656862E-2</v>
      </c>
      <c r="K8" s="167"/>
      <c r="L8" s="167">
        <f>L6/L5</f>
        <v>4.7696006300699062E-2</v>
      </c>
      <c r="M8" s="167"/>
      <c r="N8" s="167">
        <f>N6/N5</f>
        <v>2.0766105482696553E-2</v>
      </c>
    </row>
    <row r="9" spans="1:25" ht="10.199999999999999" customHeight="1">
      <c r="A9" s="166" t="s">
        <v>138</v>
      </c>
      <c r="B9" s="168">
        <f>B3/Group!B2</f>
        <v>0.22018130090222224</v>
      </c>
      <c r="C9" s="168"/>
      <c r="D9" s="168">
        <f>D3/Group!D2</f>
        <v>0.19819489436261026</v>
      </c>
      <c r="E9" s="168">
        <f>E3/Group!E2</f>
        <v>0.24274618956366742</v>
      </c>
      <c r="F9" s="168"/>
      <c r="G9" s="168">
        <f>G3/Group!G2</f>
        <v>0.22077151335311576</v>
      </c>
      <c r="H9" s="168">
        <f>H3/Group!H185</f>
        <v>0.21893999705145215</v>
      </c>
      <c r="I9" s="168"/>
      <c r="J9" s="168">
        <f>J3/Group!J185</f>
        <v>0.2079419026056743</v>
      </c>
      <c r="K9" s="168"/>
      <c r="L9" s="168">
        <f>L3/Group!L2</f>
        <v>0.20828479056584959</v>
      </c>
      <c r="M9" s="168"/>
      <c r="N9" s="168">
        <f>N3/Group!N2</f>
        <v>0.20100377988042589</v>
      </c>
    </row>
    <row r="10" spans="1:25" ht="10.199999999999999" customHeight="1">
      <c r="A10" s="166" t="s">
        <v>139</v>
      </c>
      <c r="B10" s="168"/>
      <c r="C10" s="168"/>
      <c r="D10" s="168"/>
      <c r="E10" s="168">
        <f>E4/Group!E3</f>
        <v>0.31507206515814173</v>
      </c>
      <c r="F10" s="168"/>
      <c r="G10" s="168">
        <f>G4/Group!G3</f>
        <v>0.2862226928566996</v>
      </c>
      <c r="H10" s="168">
        <f>H4/Group!H215</f>
        <v>0.31736932288397768</v>
      </c>
      <c r="I10" s="168"/>
      <c r="J10" s="168">
        <f>J4/Group!J215</f>
        <v>0.31198068550997493</v>
      </c>
      <c r="K10" s="168"/>
      <c r="L10" s="168">
        <f>L4/Group!L3</f>
        <v>0.30587245297538523</v>
      </c>
      <c r="M10" s="168"/>
      <c r="N10" s="168">
        <f>N4/Group!N3</f>
        <v>0.28322899505766064</v>
      </c>
    </row>
    <row r="11" spans="1:25" ht="10.199999999999999" customHeight="1">
      <c r="A11" s="166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</row>
    <row r="12" spans="1:25" s="165" customFormat="1" ht="10.199999999999999" customHeight="1">
      <c r="A12" s="161" t="s">
        <v>104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</row>
    <row r="13" spans="1:25" s="4" customFormat="1" ht="10.199999999999999">
      <c r="A13" s="171" t="s">
        <v>105</v>
      </c>
      <c r="B13" s="172"/>
      <c r="C13" s="173"/>
      <c r="D13" s="172"/>
      <c r="E13" s="172">
        <v>9380</v>
      </c>
      <c r="F13" s="173">
        <f t="shared" ref="F13:F28" si="1">IF((+E13/G13)&lt;0,"n.m.",IF(E13&lt;0,(+E13/G13-1)*-1,(+E13/G13-1)))</f>
        <v>0.35902636916835706</v>
      </c>
      <c r="G13" s="172">
        <v>6902</v>
      </c>
      <c r="H13" s="172">
        <v>7670</v>
      </c>
      <c r="I13" s="199">
        <f>IF((+H13/J13)&lt;0,"n.m.",IF(H13&lt;0,(+H13/J13-1)*-1,(+H13/J13-1)))</f>
        <v>8.3639446171234866E-2</v>
      </c>
      <c r="J13" s="172">
        <v>7078</v>
      </c>
      <c r="K13" s="173"/>
      <c r="L13" s="174"/>
      <c r="M13" s="173"/>
      <c r="N13" s="175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s="4" customFormat="1" ht="10.199999999999999">
      <c r="A14" s="171" t="s">
        <v>106</v>
      </c>
      <c r="B14" s="172"/>
      <c r="C14" s="173"/>
      <c r="D14" s="172"/>
      <c r="E14" s="172">
        <v>2215</v>
      </c>
      <c r="F14" s="173">
        <f t="shared" si="1"/>
        <v>0.88510638297872335</v>
      </c>
      <c r="G14" s="172">
        <v>1175</v>
      </c>
      <c r="H14" s="172">
        <v>1486</v>
      </c>
      <c r="I14" s="199">
        <f t="shared" ref="I14:I39" si="2">IF((+H14/J14)&lt;0,"n.m.",IF(H14&lt;0,(+H14/J14-1)*-1,(+H14/J14-1)))</f>
        <v>0.29217391304347817</v>
      </c>
      <c r="J14" s="172">
        <v>1150</v>
      </c>
      <c r="K14" s="173"/>
      <c r="L14" s="174"/>
      <c r="M14" s="173"/>
      <c r="N14" s="175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s="4" customFormat="1" ht="10.199999999999999">
      <c r="A15" s="171" t="s">
        <v>107</v>
      </c>
      <c r="B15" s="172"/>
      <c r="C15" s="173"/>
      <c r="D15" s="172"/>
      <c r="E15" s="172">
        <v>462</v>
      </c>
      <c r="F15" s="173">
        <f t="shared" si="1"/>
        <v>0.26229508196721318</v>
      </c>
      <c r="G15" s="172">
        <v>366</v>
      </c>
      <c r="H15" s="172">
        <v>470</v>
      </c>
      <c r="I15" s="199">
        <f t="shared" si="2"/>
        <v>0.22395833333333326</v>
      </c>
      <c r="J15" s="172">
        <v>384</v>
      </c>
      <c r="K15" s="173"/>
      <c r="L15" s="174"/>
      <c r="M15" s="173"/>
      <c r="N15" s="175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s="4" customFormat="1" ht="10.199999999999999">
      <c r="A16" s="171" t="s">
        <v>108</v>
      </c>
      <c r="B16" s="172"/>
      <c r="C16" s="173"/>
      <c r="D16" s="172"/>
      <c r="E16" s="172">
        <v>708</v>
      </c>
      <c r="F16" s="173">
        <f t="shared" si="1"/>
        <v>7.5987841945288848E-2</v>
      </c>
      <c r="G16" s="172">
        <v>658</v>
      </c>
      <c r="H16" s="172">
        <v>739</v>
      </c>
      <c r="I16" s="199">
        <f t="shared" si="2"/>
        <v>7.8832116788321249E-2</v>
      </c>
      <c r="J16" s="172">
        <v>685</v>
      </c>
      <c r="K16" s="173"/>
      <c r="L16" s="174"/>
      <c r="M16" s="173"/>
      <c r="N16" s="175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s="13" customFormat="1" ht="10.199999999999999">
      <c r="A17" s="171" t="s">
        <v>109</v>
      </c>
      <c r="B17" s="172"/>
      <c r="C17" s="173"/>
      <c r="D17" s="172"/>
      <c r="E17" s="172">
        <v>745</v>
      </c>
      <c r="F17" s="173">
        <f t="shared" si="1"/>
        <v>8.7591240875912302E-2</v>
      </c>
      <c r="G17" s="172">
        <v>685</v>
      </c>
      <c r="H17" s="172">
        <v>737</v>
      </c>
      <c r="I17" s="199">
        <f t="shared" si="2"/>
        <v>0.12347560975609762</v>
      </c>
      <c r="J17" s="172">
        <v>656</v>
      </c>
      <c r="K17" s="173"/>
      <c r="L17" s="174"/>
      <c r="M17" s="173"/>
      <c r="N17" s="175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s="13" customFormat="1" ht="10.199999999999999">
      <c r="A18" s="171" t="s">
        <v>110</v>
      </c>
      <c r="B18" s="172"/>
      <c r="C18" s="173"/>
      <c r="D18" s="172"/>
      <c r="E18" s="172">
        <v>203</v>
      </c>
      <c r="F18" s="173">
        <f t="shared" si="1"/>
        <v>0.3904109589041096</v>
      </c>
      <c r="G18" s="172">
        <v>146</v>
      </c>
      <c r="H18" s="172">
        <v>193</v>
      </c>
      <c r="I18" s="199">
        <f t="shared" si="2"/>
        <v>0.19875776397515521</v>
      </c>
      <c r="J18" s="172">
        <v>161</v>
      </c>
      <c r="K18" s="173"/>
      <c r="L18" s="174"/>
      <c r="M18" s="173"/>
      <c r="N18" s="175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s="13" customFormat="1" ht="10.199999999999999">
      <c r="A19" s="171" t="s">
        <v>111</v>
      </c>
      <c r="B19" s="172"/>
      <c r="C19" s="173"/>
      <c r="D19" s="172"/>
      <c r="E19" s="172">
        <v>294</v>
      </c>
      <c r="F19" s="173">
        <f t="shared" si="1"/>
        <v>4.6263345195729499E-2</v>
      </c>
      <c r="G19" s="172">
        <v>281</v>
      </c>
      <c r="H19" s="172">
        <v>300</v>
      </c>
      <c r="I19" s="199">
        <f t="shared" si="2"/>
        <v>-6.6225165562914245E-3</v>
      </c>
      <c r="J19" s="172">
        <v>302</v>
      </c>
      <c r="K19" s="173"/>
      <c r="L19" s="174"/>
      <c r="M19" s="173"/>
      <c r="N19" s="175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s="13" customFormat="1" ht="10.199999999999999">
      <c r="A20" s="171" t="s">
        <v>112</v>
      </c>
      <c r="B20" s="172"/>
      <c r="C20" s="173"/>
      <c r="D20" s="172"/>
      <c r="E20" s="172">
        <v>214</v>
      </c>
      <c r="F20" s="173">
        <f t="shared" si="1"/>
        <v>7.5376884422110546E-2</v>
      </c>
      <c r="G20" s="172">
        <v>199</v>
      </c>
      <c r="H20" s="172">
        <v>223</v>
      </c>
      <c r="I20" s="199">
        <f t="shared" si="2"/>
        <v>7.7294685990338063E-2</v>
      </c>
      <c r="J20" s="172">
        <v>207</v>
      </c>
      <c r="K20" s="173"/>
      <c r="L20" s="174"/>
      <c r="M20" s="173"/>
      <c r="N20" s="175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s="13" customFormat="1" ht="10.199999999999999">
      <c r="A21" s="171" t="s">
        <v>113</v>
      </c>
      <c r="B21" s="172"/>
      <c r="C21" s="173"/>
      <c r="D21" s="172"/>
      <c r="E21" s="172">
        <v>108</v>
      </c>
      <c r="F21" s="173">
        <f t="shared" si="1"/>
        <v>-3.5714285714285698E-2</v>
      </c>
      <c r="G21" s="172">
        <v>112</v>
      </c>
      <c r="H21" s="172">
        <v>118</v>
      </c>
      <c r="I21" s="199">
        <f t="shared" si="2"/>
        <v>7.2727272727272751E-2</v>
      </c>
      <c r="J21" s="172">
        <v>110</v>
      </c>
      <c r="K21" s="173"/>
      <c r="L21" s="174"/>
      <c r="M21" s="173"/>
      <c r="N21" s="175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s="13" customFormat="1" ht="10.199999999999999">
      <c r="A22" s="171" t="s">
        <v>114</v>
      </c>
      <c r="B22" s="172"/>
      <c r="C22" s="173"/>
      <c r="D22" s="172"/>
      <c r="E22" s="172">
        <v>27</v>
      </c>
      <c r="F22" s="173">
        <f t="shared" si="1"/>
        <v>-0.15625</v>
      </c>
      <c r="G22" s="172">
        <v>32</v>
      </c>
      <c r="H22" s="172">
        <v>32</v>
      </c>
      <c r="I22" s="199">
        <f t="shared" si="2"/>
        <v>-3.0303030303030276E-2</v>
      </c>
      <c r="J22" s="172">
        <v>33</v>
      </c>
      <c r="K22" s="173"/>
      <c r="L22" s="174"/>
      <c r="M22" s="173"/>
      <c r="N22" s="175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s="13" customFormat="1" ht="10.199999999999999">
      <c r="A23" s="171" t="s">
        <v>115</v>
      </c>
      <c r="B23" s="172"/>
      <c r="C23" s="173"/>
      <c r="D23" s="172"/>
      <c r="E23" s="172">
        <v>35</v>
      </c>
      <c r="F23" s="173">
        <f t="shared" si="1"/>
        <v>0.45833333333333326</v>
      </c>
      <c r="G23" s="172">
        <v>24</v>
      </c>
      <c r="H23" s="172">
        <v>26</v>
      </c>
      <c r="I23" s="199">
        <f t="shared" si="2"/>
        <v>4.0000000000000036E-2</v>
      </c>
      <c r="J23" s="172">
        <v>25</v>
      </c>
      <c r="K23" s="173"/>
      <c r="L23" s="174"/>
      <c r="M23" s="173"/>
      <c r="N23" s="175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s="13" customFormat="1" ht="10.199999999999999">
      <c r="A24" s="171" t="s">
        <v>116</v>
      </c>
      <c r="B24" s="172"/>
      <c r="C24" s="173"/>
      <c r="D24" s="172"/>
      <c r="E24" s="172">
        <v>24</v>
      </c>
      <c r="F24" s="173">
        <f t="shared" si="1"/>
        <v>-4.0000000000000036E-2</v>
      </c>
      <c r="G24" s="172">
        <v>25</v>
      </c>
      <c r="H24" s="172">
        <v>24</v>
      </c>
      <c r="I24" s="199">
        <f t="shared" si="2"/>
        <v>-0.11111111111111116</v>
      </c>
      <c r="J24" s="172">
        <v>27</v>
      </c>
      <c r="K24" s="173"/>
      <c r="L24" s="174"/>
      <c r="M24" s="173"/>
      <c r="N24" s="175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s="13" customFormat="1" ht="10.199999999999999">
      <c r="A25" s="171" t="s">
        <v>117</v>
      </c>
      <c r="B25" s="172"/>
      <c r="C25" s="173"/>
      <c r="D25" s="172"/>
      <c r="E25" s="172">
        <v>108</v>
      </c>
      <c r="F25" s="173">
        <f t="shared" si="1"/>
        <v>-0.32075471698113212</v>
      </c>
      <c r="G25" s="172">
        <v>159</v>
      </c>
      <c r="H25" s="172">
        <v>153</v>
      </c>
      <c r="I25" s="199">
        <f t="shared" si="2"/>
        <v>5.5172413793103559E-2</v>
      </c>
      <c r="J25" s="172">
        <v>145</v>
      </c>
      <c r="K25" s="173"/>
      <c r="L25" s="174"/>
      <c r="M25" s="173"/>
      <c r="N25" s="175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s="13" customFormat="1" ht="10.199999999999999">
      <c r="A26" s="171" t="s">
        <v>118</v>
      </c>
      <c r="B26" s="177"/>
      <c r="C26" s="173"/>
      <c r="D26" s="177"/>
      <c r="E26" s="177">
        <v>65</v>
      </c>
      <c r="F26" s="173">
        <f t="shared" si="1"/>
        <v>-0.5547945205479452</v>
      </c>
      <c r="G26" s="177">
        <v>146</v>
      </c>
      <c r="H26" s="177">
        <v>135</v>
      </c>
      <c r="I26" s="199">
        <f t="shared" si="2"/>
        <v>-0.18181818181818177</v>
      </c>
      <c r="J26" s="177">
        <v>165</v>
      </c>
      <c r="K26" s="173"/>
      <c r="L26" s="178"/>
      <c r="M26" s="173"/>
      <c r="N26" s="17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s="13" customFormat="1" ht="10.199999999999999">
      <c r="A27" s="171" t="s">
        <v>119</v>
      </c>
      <c r="B27" s="172"/>
      <c r="C27" s="173"/>
      <c r="D27" s="172"/>
      <c r="E27" s="172">
        <v>21</v>
      </c>
      <c r="F27" s="173">
        <f t="shared" si="1"/>
        <v>-0.44736842105263153</v>
      </c>
      <c r="G27" s="172">
        <v>38</v>
      </c>
      <c r="H27" s="172">
        <v>44</v>
      </c>
      <c r="I27" s="199"/>
      <c r="J27" s="172">
        <v>0</v>
      </c>
      <c r="K27" s="173"/>
      <c r="L27" s="174"/>
      <c r="M27" s="173"/>
      <c r="N27" s="175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s="4" customFormat="1" ht="10.199999999999999">
      <c r="A28" s="171" t="s">
        <v>120</v>
      </c>
      <c r="B28" s="172"/>
      <c r="C28" s="173"/>
      <c r="D28" s="172"/>
      <c r="E28" s="172">
        <v>322</v>
      </c>
      <c r="F28" s="173">
        <f t="shared" si="1"/>
        <v>0.2578125</v>
      </c>
      <c r="G28" s="172">
        <v>256</v>
      </c>
      <c r="H28" s="172">
        <v>285</v>
      </c>
      <c r="I28" s="199">
        <f t="shared" si="2"/>
        <v>0.39705882352941169</v>
      </c>
      <c r="J28" s="172">
        <v>204</v>
      </c>
      <c r="K28" s="173"/>
      <c r="L28" s="174"/>
      <c r="M28" s="173"/>
      <c r="N28" s="175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s="13" customFormat="1" ht="10.199999999999999">
      <c r="A29" s="171" t="s">
        <v>121</v>
      </c>
      <c r="B29" s="172"/>
      <c r="C29" s="173"/>
      <c r="D29" s="172"/>
      <c r="E29" s="172">
        <v>3</v>
      </c>
      <c r="F29" s="173"/>
      <c r="G29" s="172">
        <v>0</v>
      </c>
      <c r="H29" s="172">
        <v>1</v>
      </c>
      <c r="I29" s="199"/>
      <c r="J29" s="172">
        <v>0</v>
      </c>
      <c r="K29" s="173"/>
      <c r="L29" s="174"/>
      <c r="M29" s="173"/>
      <c r="N29" s="175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s="13" customFormat="1" ht="10.199999999999999">
      <c r="A30" s="171" t="s">
        <v>122</v>
      </c>
      <c r="B30" s="172"/>
      <c r="C30" s="173"/>
      <c r="D30" s="172"/>
      <c r="E30" s="172">
        <v>105</v>
      </c>
      <c r="F30" s="173">
        <f t="shared" ref="F30:F40" si="3">IF((+E30/G30)&lt;0,"n.m.",IF(E30&lt;0,(+E30/G30-1)*-1,(+E30/G30-1)))</f>
        <v>6.0606060606060552E-2</v>
      </c>
      <c r="G30" s="172">
        <v>99</v>
      </c>
      <c r="H30" s="172">
        <v>98</v>
      </c>
      <c r="I30" s="199">
        <f t="shared" si="2"/>
        <v>-8.411214953271029E-2</v>
      </c>
      <c r="J30" s="172">
        <v>107</v>
      </c>
      <c r="K30" s="173"/>
      <c r="L30" s="174"/>
      <c r="M30" s="173"/>
      <c r="N30" s="175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s="13" customFormat="1" ht="10.199999999999999">
      <c r="A31" s="171" t="s">
        <v>123</v>
      </c>
      <c r="B31" s="172"/>
      <c r="C31" s="173"/>
      <c r="D31" s="172"/>
      <c r="E31" s="172">
        <v>5882</v>
      </c>
      <c r="F31" s="173">
        <f t="shared" si="3"/>
        <v>-8.108108108108103E-2</v>
      </c>
      <c r="G31" s="172">
        <v>6401</v>
      </c>
      <c r="H31" s="172">
        <v>6418</v>
      </c>
      <c r="I31" s="199">
        <f t="shared" si="2"/>
        <v>2.9515559833172889E-2</v>
      </c>
      <c r="J31" s="172">
        <v>6234</v>
      </c>
      <c r="K31" s="173"/>
      <c r="L31" s="174"/>
      <c r="M31" s="173"/>
      <c r="N31" s="175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s="13" customFormat="1" ht="10.199999999999999">
      <c r="A32" s="171" t="s">
        <v>124</v>
      </c>
      <c r="B32" s="172"/>
      <c r="C32" s="173"/>
      <c r="D32" s="173"/>
      <c r="E32" s="172">
        <v>4047</v>
      </c>
      <c r="F32" s="173">
        <f t="shared" si="3"/>
        <v>0.5106382978723405</v>
      </c>
      <c r="G32" s="172">
        <v>2679</v>
      </c>
      <c r="H32" s="172">
        <v>3090</v>
      </c>
      <c r="I32" s="199">
        <f t="shared" si="2"/>
        <v>0.19489559164733183</v>
      </c>
      <c r="J32" s="172">
        <v>2586</v>
      </c>
      <c r="K32" s="180"/>
      <c r="L32" s="174"/>
      <c r="M32" s="180"/>
      <c r="N32" s="175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s="13" customFormat="1" ht="10.199999999999999">
      <c r="A33" s="171" t="s">
        <v>125</v>
      </c>
      <c r="B33" s="182"/>
      <c r="C33" s="173"/>
      <c r="D33" s="182"/>
      <c r="E33" s="182">
        <v>1463</v>
      </c>
      <c r="F33" s="173">
        <f t="shared" si="3"/>
        <v>-0.43687451886066209</v>
      </c>
      <c r="G33" s="182">
        <v>2598</v>
      </c>
      <c r="H33" s="182">
        <v>2370</v>
      </c>
      <c r="I33" s="199">
        <f t="shared" si="2"/>
        <v>-9.7486671744097531E-2</v>
      </c>
      <c r="J33" s="182">
        <v>2626</v>
      </c>
      <c r="K33" s="173"/>
      <c r="L33" s="183"/>
      <c r="M33" s="173"/>
      <c r="N33" s="182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s="13" customFormat="1" ht="10.199999999999999">
      <c r="A34" s="171" t="s">
        <v>126</v>
      </c>
      <c r="B34" s="182"/>
      <c r="C34" s="173"/>
      <c r="D34" s="182"/>
      <c r="E34" s="182">
        <v>909</v>
      </c>
      <c r="F34" s="173">
        <f t="shared" si="3"/>
        <v>0.36281859070464773</v>
      </c>
      <c r="G34" s="182">
        <v>667</v>
      </c>
      <c r="H34" s="182">
        <v>697</v>
      </c>
      <c r="I34" s="199">
        <f t="shared" si="2"/>
        <v>1.0144927536231974E-2</v>
      </c>
      <c r="J34" s="182">
        <v>690</v>
      </c>
      <c r="K34" s="173"/>
      <c r="L34" s="183"/>
      <c r="M34" s="173"/>
      <c r="N34" s="182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s="13" customFormat="1" ht="10.199999999999999">
      <c r="A35" s="179" t="s">
        <v>105</v>
      </c>
      <c r="B35" s="184"/>
      <c r="C35" s="173"/>
      <c r="D35" s="184"/>
      <c r="E35" s="184">
        <f>E13</f>
        <v>9380</v>
      </c>
      <c r="F35" s="173">
        <f t="shared" si="3"/>
        <v>0.35902636916835706</v>
      </c>
      <c r="G35" s="184">
        <f>G13</f>
        <v>6902</v>
      </c>
      <c r="H35" s="184">
        <f>H13</f>
        <v>7670</v>
      </c>
      <c r="I35" s="199">
        <f t="shared" si="2"/>
        <v>8.3639446171234866E-2</v>
      </c>
      <c r="J35" s="184">
        <f>J13</f>
        <v>7078</v>
      </c>
      <c r="K35" s="173"/>
      <c r="L35" s="185"/>
      <c r="M35" s="173"/>
      <c r="N35" s="182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s="13" customFormat="1" ht="10.199999999999999">
      <c r="A36" s="179" t="s">
        <v>106</v>
      </c>
      <c r="B36" s="184"/>
      <c r="C36" s="173"/>
      <c r="D36" s="184"/>
      <c r="E36" s="184">
        <f>E14</f>
        <v>2215</v>
      </c>
      <c r="F36" s="173">
        <f t="shared" si="3"/>
        <v>0.88510638297872335</v>
      </c>
      <c r="G36" s="184">
        <f>G14</f>
        <v>1175</v>
      </c>
      <c r="H36" s="184">
        <f>H14</f>
        <v>1486</v>
      </c>
      <c r="I36" s="199">
        <f t="shared" si="2"/>
        <v>0.29217391304347817</v>
      </c>
      <c r="J36" s="184">
        <f>J14</f>
        <v>1150</v>
      </c>
      <c r="K36" s="173"/>
      <c r="L36" s="185"/>
      <c r="M36" s="173"/>
      <c r="N36" s="182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s="4" customFormat="1" ht="10.199999999999999">
      <c r="A37" s="179" t="s">
        <v>127</v>
      </c>
      <c r="B37" s="177"/>
      <c r="C37" s="173"/>
      <c r="D37" s="177"/>
      <c r="E37" s="177">
        <f>E15+E16+E17+E18+E19+E20+E21+E22+E23+E24</f>
        <v>2820</v>
      </c>
      <c r="F37" s="173">
        <f t="shared" si="3"/>
        <v>0.115506329113924</v>
      </c>
      <c r="G37" s="177">
        <f>G15+G16+G17+G18+G19+G20+G21+G22+G23+G24</f>
        <v>2528</v>
      </c>
      <c r="H37" s="177">
        <f>H15+H16+H17+H18+H19+H20+H21+H22+H23+H24</f>
        <v>2862</v>
      </c>
      <c r="I37" s="199">
        <f t="shared" si="2"/>
        <v>0.10501930501930512</v>
      </c>
      <c r="J37" s="177">
        <f>J15+J16+J17+J18+J19+J20+J21+J22+J23+J24</f>
        <v>2590</v>
      </c>
      <c r="K37" s="173"/>
      <c r="L37" s="178"/>
      <c r="M37" s="173"/>
      <c r="N37" s="18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s="4" customFormat="1" ht="10.199999999999999">
      <c r="A38" s="179" t="s">
        <v>128</v>
      </c>
      <c r="B38" s="177"/>
      <c r="C38" s="173"/>
      <c r="D38" s="177"/>
      <c r="E38" s="177">
        <f>E25+E26+E27+E28+E29+E30</f>
        <v>624</v>
      </c>
      <c r="F38" s="173">
        <f t="shared" si="3"/>
        <v>-0.10601719197707737</v>
      </c>
      <c r="G38" s="177">
        <f>G25+G26+G27+G28+G29+G30</f>
        <v>698</v>
      </c>
      <c r="H38" s="177">
        <f>H25+H26+H27+H28+H29+H30</f>
        <v>716</v>
      </c>
      <c r="I38" s="199">
        <f t="shared" si="2"/>
        <v>0.1529790660225443</v>
      </c>
      <c r="J38" s="177">
        <f>J25+J26+J27+J28+J29+J30</f>
        <v>621</v>
      </c>
      <c r="K38" s="173"/>
      <c r="L38" s="178"/>
      <c r="M38" s="173"/>
      <c r="N38" s="18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s="13" customFormat="1" ht="10.199999999999999">
      <c r="A39" s="179" t="s">
        <v>129</v>
      </c>
      <c r="B39" s="177"/>
      <c r="C39" s="173"/>
      <c r="D39" s="177"/>
      <c r="E39" s="177">
        <f>E31+E32+E33+E34</f>
        <v>12301</v>
      </c>
      <c r="F39" s="173">
        <f t="shared" si="3"/>
        <v>-3.56419603078173E-3</v>
      </c>
      <c r="G39" s="177">
        <f>G31+G32+G33+G34</f>
        <v>12345</v>
      </c>
      <c r="H39" s="177">
        <f>H31+H32+H33+H34</f>
        <v>12575</v>
      </c>
      <c r="I39" s="199">
        <f t="shared" si="2"/>
        <v>3.6173368490441726E-2</v>
      </c>
      <c r="J39" s="177">
        <f>J31+J32+J33+J34</f>
        <v>12136</v>
      </c>
      <c r="K39" s="173"/>
      <c r="L39" s="178"/>
      <c r="M39" s="173"/>
      <c r="N39" s="186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s="4" customFormat="1" ht="10.199999999999999">
      <c r="A40" s="187" t="s">
        <v>130</v>
      </c>
      <c r="B40" s="188"/>
      <c r="C40" s="163"/>
      <c r="D40" s="188"/>
      <c r="E40" s="188">
        <f>SUM(E35:E39)</f>
        <v>27340</v>
      </c>
      <c r="F40" s="163">
        <f t="shared" si="3"/>
        <v>0.1561231393775373</v>
      </c>
      <c r="G40" s="188">
        <f>SUM(G35:G39)</f>
        <v>23648</v>
      </c>
      <c r="H40" s="188">
        <f>SUM(H35:H39)</f>
        <v>25309</v>
      </c>
      <c r="I40" s="298">
        <f t="shared" ref="I40" si="4">IF((+H40/J40)&lt;0,"n.m.",IF(H40&lt;0,(+H40/J40-1)*-1,(+H40/J40-1)))</f>
        <v>7.3552492046659701E-2</v>
      </c>
      <c r="J40" s="188">
        <f>SUM(J35:J39)</f>
        <v>23575</v>
      </c>
      <c r="K40" s="163">
        <f>(J40-L40)/L40</f>
        <v>0.15416625868990502</v>
      </c>
      <c r="L40" s="189">
        <v>20426</v>
      </c>
      <c r="M40" s="163">
        <f>(L40-N40)/N40</f>
        <v>-7.4406380279137208E-2</v>
      </c>
      <c r="N40" s="189">
        <v>22068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s="197" customFormat="1" ht="10.199999999999999">
      <c r="A41" s="191" t="s">
        <v>140</v>
      </c>
      <c r="B41" s="192"/>
      <c r="C41" s="173"/>
      <c r="D41" s="192"/>
      <c r="E41" s="192">
        <f>E40/Group!E152</f>
        <v>0.37535867759517827</v>
      </c>
      <c r="F41" s="173"/>
      <c r="G41" s="192">
        <f>G40/Group!G152</f>
        <v>0.3320648739731798</v>
      </c>
      <c r="H41" s="192">
        <f>H40/Group!H152</f>
        <v>0.34714563959070582</v>
      </c>
      <c r="I41" s="193"/>
      <c r="J41" s="192">
        <f>J40/Group!J152</f>
        <v>0.3225034199726402</v>
      </c>
      <c r="K41" s="193"/>
      <c r="L41" s="193">
        <f>L40/Group!L152</f>
        <v>0.27598973111741659</v>
      </c>
      <c r="M41" s="193"/>
      <c r="N41" s="193">
        <f>N40/Group!N152</f>
        <v>0.28709702599328701</v>
      </c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</row>
    <row r="42" spans="1:25" ht="12" customHeight="1">
      <c r="A42" s="166"/>
      <c r="B42" s="169"/>
      <c r="C42" s="173"/>
      <c r="D42" s="169"/>
      <c r="E42" s="169"/>
      <c r="F42" s="173"/>
      <c r="G42" s="169"/>
      <c r="H42" s="169"/>
      <c r="I42" s="168"/>
      <c r="J42" s="169"/>
      <c r="K42" s="168"/>
      <c r="L42" s="169"/>
      <c r="M42" s="164"/>
      <c r="N42" s="169"/>
    </row>
    <row r="43" spans="1:25" s="165" customFormat="1" ht="12" customHeight="1">
      <c r="A43" s="187" t="s">
        <v>4</v>
      </c>
      <c r="B43" s="170"/>
      <c r="C43" s="173"/>
      <c r="D43" s="170"/>
      <c r="E43" s="170"/>
      <c r="F43" s="173"/>
      <c r="G43" s="170"/>
      <c r="H43" s="170"/>
      <c r="I43" s="168"/>
      <c r="J43" s="170"/>
      <c r="K43" s="168"/>
      <c r="L43" s="170"/>
      <c r="M43" s="164"/>
      <c r="N43" s="170"/>
    </row>
    <row r="44" spans="1:25" s="4" customFormat="1" ht="10.199999999999999">
      <c r="A44" s="171" t="s">
        <v>105</v>
      </c>
      <c r="B44" s="198"/>
      <c r="C44" s="173"/>
      <c r="D44" s="198"/>
      <c r="E44" s="198">
        <v>642.58000000000004</v>
      </c>
      <c r="F44" s="173">
        <f t="shared" ref="F44:F59" si="5">IF((+E44/G44)&lt;0,"n.m.",IF(E44&lt;0,(+E44/G44-1)*-1,(+E44/G44-1)))</f>
        <v>0.16167404863057055</v>
      </c>
      <c r="G44" s="198">
        <v>553.15</v>
      </c>
      <c r="H44" s="198">
        <v>1242.95</v>
      </c>
      <c r="I44" s="199">
        <f t="shared" ref="I44:I70" si="6">IF((+H44/J44)&lt;0,"n.m.",IF(H44&lt;0,(+H44/J44-1)*-1,(+H44/J44-1)))</f>
        <v>0.10274677502351071</v>
      </c>
      <c r="J44" s="198">
        <v>1127.1400000000001</v>
      </c>
      <c r="K44" s="173"/>
      <c r="L44" s="174"/>
      <c r="M44" s="173"/>
      <c r="N44" s="175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s="4" customFormat="1" ht="10.199999999999999">
      <c r="A45" s="171" t="s">
        <v>106</v>
      </c>
      <c r="B45" s="198"/>
      <c r="C45" s="173"/>
      <c r="D45" s="198"/>
      <c r="E45" s="198">
        <v>162.82</v>
      </c>
      <c r="F45" s="173">
        <f t="shared" si="5"/>
        <v>0.1848348129820987</v>
      </c>
      <c r="G45" s="198">
        <v>137.41999999999999</v>
      </c>
      <c r="H45" s="198">
        <v>320.36</v>
      </c>
      <c r="I45" s="199">
        <f t="shared" si="6"/>
        <v>8.7735977183213576E-2</v>
      </c>
      <c r="J45" s="198">
        <v>294.52</v>
      </c>
      <c r="K45" s="173"/>
      <c r="L45" s="174"/>
      <c r="M45" s="173"/>
      <c r="N45" s="175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s="4" customFormat="1" ht="10.199999999999999">
      <c r="A46" s="171" t="s">
        <v>107</v>
      </c>
      <c r="B46" s="198"/>
      <c r="C46" s="173"/>
      <c r="D46" s="198"/>
      <c r="E46" s="198">
        <v>25.84</v>
      </c>
      <c r="F46" s="173">
        <f t="shared" si="5"/>
        <v>0.38255751738897792</v>
      </c>
      <c r="G46" s="198">
        <v>18.690000000000001</v>
      </c>
      <c r="H46" s="198">
        <v>84.21</v>
      </c>
      <c r="I46" s="199">
        <f t="shared" si="6"/>
        <v>0.6150747986191023</v>
      </c>
      <c r="J46" s="198">
        <v>52.14</v>
      </c>
      <c r="K46" s="173"/>
      <c r="L46" s="174"/>
      <c r="M46" s="173"/>
      <c r="N46" s="175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s="4" customFormat="1" ht="10.199999999999999">
      <c r="A47" s="171" t="s">
        <v>108</v>
      </c>
      <c r="B47" s="198"/>
      <c r="C47" s="173"/>
      <c r="D47" s="198"/>
      <c r="E47" s="198">
        <v>46.54</v>
      </c>
      <c r="F47" s="173">
        <f t="shared" si="5"/>
        <v>0.25006715014773051</v>
      </c>
      <c r="G47" s="198">
        <v>37.229999999999997</v>
      </c>
      <c r="H47" s="198">
        <v>108.84</v>
      </c>
      <c r="I47" s="199">
        <f t="shared" si="6"/>
        <v>0.16818718471611027</v>
      </c>
      <c r="J47" s="198">
        <v>93.17</v>
      </c>
      <c r="K47" s="173"/>
      <c r="L47" s="174"/>
      <c r="M47" s="173"/>
      <c r="N47" s="175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s="13" customFormat="1" ht="10.199999999999999">
      <c r="A48" s="171" t="s">
        <v>109</v>
      </c>
      <c r="B48" s="198"/>
      <c r="C48" s="173"/>
      <c r="D48" s="198"/>
      <c r="E48" s="198">
        <v>56.37</v>
      </c>
      <c r="F48" s="173">
        <f t="shared" si="5"/>
        <v>0.38331288343558279</v>
      </c>
      <c r="G48" s="198">
        <v>40.75</v>
      </c>
      <c r="H48" s="198">
        <v>107.19</v>
      </c>
      <c r="I48" s="199">
        <f t="shared" si="6"/>
        <v>0.24871854613233912</v>
      </c>
      <c r="J48" s="198">
        <v>85.84</v>
      </c>
      <c r="K48" s="173"/>
      <c r="L48" s="174"/>
      <c r="M48" s="173"/>
      <c r="N48" s="175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s="13" customFormat="1" ht="10.199999999999999">
      <c r="A49" s="171" t="s">
        <v>110</v>
      </c>
      <c r="B49" s="198"/>
      <c r="C49" s="173"/>
      <c r="D49" s="198"/>
      <c r="E49" s="198">
        <v>3.53</v>
      </c>
      <c r="F49" s="173">
        <f t="shared" si="5"/>
        <v>-0.70558798999165973</v>
      </c>
      <c r="G49" s="198">
        <v>11.99</v>
      </c>
      <c r="H49" s="198">
        <v>20.97</v>
      </c>
      <c r="I49" s="199">
        <f t="shared" si="6"/>
        <v>1.7128072445019402</v>
      </c>
      <c r="J49" s="198">
        <v>7.73</v>
      </c>
      <c r="K49" s="173"/>
      <c r="L49" s="174"/>
      <c r="M49" s="173"/>
      <c r="N49" s="175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s="13" customFormat="1" ht="10.199999999999999">
      <c r="A50" s="171" t="s">
        <v>111</v>
      </c>
      <c r="B50" s="198"/>
      <c r="C50" s="173"/>
      <c r="D50" s="198"/>
      <c r="E50" s="198">
        <v>23.4</v>
      </c>
      <c r="F50" s="173">
        <f t="shared" si="5"/>
        <v>0.65021156558533133</v>
      </c>
      <c r="G50" s="198">
        <v>14.18</v>
      </c>
      <c r="H50" s="198">
        <v>39.44</v>
      </c>
      <c r="I50" s="199">
        <f t="shared" si="6"/>
        <v>4.9494411921234605E-2</v>
      </c>
      <c r="J50" s="198">
        <v>37.58</v>
      </c>
      <c r="K50" s="173"/>
      <c r="L50" s="174"/>
      <c r="M50" s="173"/>
      <c r="N50" s="175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s="13" customFormat="1" ht="10.199999999999999">
      <c r="A51" s="171" t="s">
        <v>112</v>
      </c>
      <c r="B51" s="198"/>
      <c r="C51" s="173"/>
      <c r="D51" s="198"/>
      <c r="E51" s="198">
        <v>8.4499999999999993</v>
      </c>
      <c r="F51" s="173">
        <f t="shared" si="5"/>
        <v>-0.13065843621399187</v>
      </c>
      <c r="G51" s="198">
        <v>9.7200000000000006</v>
      </c>
      <c r="H51" s="198">
        <v>26.11</v>
      </c>
      <c r="I51" s="199">
        <f t="shared" si="6"/>
        <v>-0.14840182648401834</v>
      </c>
      <c r="J51" s="198">
        <v>30.66</v>
      </c>
      <c r="K51" s="173"/>
      <c r="L51" s="174"/>
      <c r="M51" s="173"/>
      <c r="N51" s="175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s="13" customFormat="1" ht="10.199999999999999">
      <c r="A52" s="171" t="s">
        <v>113</v>
      </c>
      <c r="B52" s="198"/>
      <c r="C52" s="173"/>
      <c r="D52" s="198"/>
      <c r="E52" s="198">
        <v>5.54</v>
      </c>
      <c r="F52" s="173">
        <f t="shared" si="5"/>
        <v>-0.31008717310087164</v>
      </c>
      <c r="G52" s="198">
        <v>8.0299999999999994</v>
      </c>
      <c r="H52" s="198">
        <v>17.14</v>
      </c>
      <c r="I52" s="199">
        <f t="shared" si="6"/>
        <v>-9.1679915209326945E-2</v>
      </c>
      <c r="J52" s="198">
        <v>18.87</v>
      </c>
      <c r="K52" s="173"/>
      <c r="L52" s="174"/>
      <c r="M52" s="173"/>
      <c r="N52" s="175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s="13" customFormat="1" ht="10.199999999999999">
      <c r="A53" s="171" t="s">
        <v>114</v>
      </c>
      <c r="B53" s="198"/>
      <c r="C53" s="173"/>
      <c r="D53" s="198"/>
      <c r="E53" s="198">
        <v>4.72</v>
      </c>
      <c r="F53" s="173">
        <f t="shared" si="5"/>
        <v>-4.8387096774193616E-2</v>
      </c>
      <c r="G53" s="198">
        <v>4.96</v>
      </c>
      <c r="H53" s="198">
        <v>10.75</v>
      </c>
      <c r="I53" s="199">
        <f t="shared" si="6"/>
        <v>4.7758284600389889E-2</v>
      </c>
      <c r="J53" s="198">
        <v>10.26</v>
      </c>
      <c r="K53" s="173"/>
      <c r="L53" s="174"/>
      <c r="M53" s="173"/>
      <c r="N53" s="175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s="13" customFormat="1" ht="10.199999999999999">
      <c r="A54" s="171" t="s">
        <v>115</v>
      </c>
      <c r="B54" s="198"/>
      <c r="C54" s="173"/>
      <c r="D54" s="198"/>
      <c r="E54" s="198">
        <v>0.88</v>
      </c>
      <c r="F54" s="173">
        <f t="shared" si="5"/>
        <v>0.33333333333333326</v>
      </c>
      <c r="G54" s="198">
        <v>0.66</v>
      </c>
      <c r="H54" s="198">
        <v>1.43</v>
      </c>
      <c r="I54" s="199">
        <f t="shared" si="6"/>
        <v>0.5888888888888888</v>
      </c>
      <c r="J54" s="198">
        <v>0.9</v>
      </c>
      <c r="K54" s="173"/>
      <c r="L54" s="174"/>
      <c r="M54" s="173"/>
      <c r="N54" s="175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s="13" customFormat="1" ht="10.199999999999999">
      <c r="A55" s="171" t="s">
        <v>116</v>
      </c>
      <c r="B55" s="198"/>
      <c r="C55" s="173"/>
      <c r="D55" s="198"/>
      <c r="E55" s="198">
        <v>1.4</v>
      </c>
      <c r="F55" s="173">
        <f t="shared" si="5"/>
        <v>0.11999999999999988</v>
      </c>
      <c r="G55" s="198">
        <v>1.25</v>
      </c>
      <c r="H55" s="198">
        <v>2.57</v>
      </c>
      <c r="I55" s="199">
        <f t="shared" si="6"/>
        <v>0.70198675496688723</v>
      </c>
      <c r="J55" s="198">
        <v>1.51</v>
      </c>
      <c r="K55" s="173"/>
      <c r="L55" s="174"/>
      <c r="M55" s="173"/>
      <c r="N55" s="175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s="13" customFormat="1" ht="10.199999999999999">
      <c r="A56" s="171" t="s">
        <v>117</v>
      </c>
      <c r="B56" s="198"/>
      <c r="C56" s="173"/>
      <c r="D56" s="198"/>
      <c r="E56" s="198">
        <v>16.32</v>
      </c>
      <c r="F56" s="173">
        <f t="shared" si="5"/>
        <v>8.0296479308215041E-3</v>
      </c>
      <c r="G56" s="198">
        <v>16.190000000000001</v>
      </c>
      <c r="H56" s="198">
        <v>32.340000000000003</v>
      </c>
      <c r="I56" s="199">
        <f t="shared" si="6"/>
        <v>0.47603833865814704</v>
      </c>
      <c r="J56" s="198">
        <v>21.91</v>
      </c>
      <c r="K56" s="173"/>
      <c r="L56" s="174"/>
      <c r="M56" s="173"/>
      <c r="N56" s="175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 s="13" customFormat="1" ht="10.199999999999999">
      <c r="A57" s="171" t="s">
        <v>118</v>
      </c>
      <c r="B57" s="200"/>
      <c r="C57" s="173"/>
      <c r="D57" s="200"/>
      <c r="E57" s="200">
        <v>29.66</v>
      </c>
      <c r="F57" s="173">
        <f t="shared" si="5"/>
        <v>-0.22941023642504554</v>
      </c>
      <c r="G57" s="200">
        <v>38.49</v>
      </c>
      <c r="H57" s="200">
        <v>60.9</v>
      </c>
      <c r="I57" s="199">
        <f t="shared" si="6"/>
        <v>-0.28445541064504765</v>
      </c>
      <c r="J57" s="200">
        <v>85.11</v>
      </c>
      <c r="K57" s="173"/>
      <c r="L57" s="178"/>
      <c r="M57" s="173"/>
      <c r="N57" s="17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 s="13" customFormat="1" ht="10.199999999999999">
      <c r="A58" s="171" t="s">
        <v>119</v>
      </c>
      <c r="B58" s="198"/>
      <c r="C58" s="173"/>
      <c r="D58" s="198"/>
      <c r="E58" s="198">
        <v>8.0299999999999994</v>
      </c>
      <c r="F58" s="173">
        <f t="shared" si="5"/>
        <v>-0.14936440677966101</v>
      </c>
      <c r="G58" s="198">
        <v>9.44</v>
      </c>
      <c r="H58" s="198">
        <v>24.15</v>
      </c>
      <c r="I58" s="199">
        <f t="shared" si="6"/>
        <v>14.38216560509554</v>
      </c>
      <c r="J58" s="198">
        <v>1.57</v>
      </c>
      <c r="K58" s="173"/>
      <c r="L58" s="174"/>
      <c r="M58" s="173"/>
      <c r="N58" s="175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s="4" customFormat="1" ht="10.199999999999999">
      <c r="A59" s="171" t="s">
        <v>120</v>
      </c>
      <c r="B59" s="198"/>
      <c r="C59" s="173"/>
      <c r="D59" s="198"/>
      <c r="E59" s="198">
        <v>92.32</v>
      </c>
      <c r="F59" s="173">
        <f t="shared" si="5"/>
        <v>0.54821398624853246</v>
      </c>
      <c r="G59" s="198">
        <v>59.63</v>
      </c>
      <c r="H59" s="198">
        <v>171.36</v>
      </c>
      <c r="I59" s="199">
        <f t="shared" si="6"/>
        <v>0.10412371134020626</v>
      </c>
      <c r="J59" s="198">
        <v>155.19999999999999</v>
      </c>
      <c r="K59" s="173"/>
      <c r="L59" s="174"/>
      <c r="M59" s="173"/>
      <c r="N59" s="175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s="13" customFormat="1" ht="10.199999999999999">
      <c r="A60" s="171" t="s">
        <v>121</v>
      </c>
      <c r="B60" s="198"/>
      <c r="C60" s="173"/>
      <c r="D60" s="198"/>
      <c r="E60" s="198">
        <v>2.5099999999999998</v>
      </c>
      <c r="F60" s="173"/>
      <c r="G60" s="198">
        <v>0</v>
      </c>
      <c r="H60" s="198">
        <v>3.4</v>
      </c>
      <c r="I60" s="199"/>
      <c r="J60" s="198">
        <v>0</v>
      </c>
      <c r="K60" s="173"/>
      <c r="L60" s="174"/>
      <c r="M60" s="173"/>
      <c r="N60" s="175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5" s="13" customFormat="1" ht="10.199999999999999">
      <c r="A61" s="171" t="s">
        <v>122</v>
      </c>
      <c r="B61" s="198"/>
      <c r="C61" s="173"/>
      <c r="D61" s="198"/>
      <c r="E61" s="198">
        <v>7.77</v>
      </c>
      <c r="F61" s="173">
        <f t="shared" ref="F61:F71" si="7">IF((+E61/G61)&lt;0,"n.m.",IF(E61&lt;0,(+E61/G61-1)*-1,(+E61/G61-1)))</f>
        <v>1.1643454038997216</v>
      </c>
      <c r="G61" s="198">
        <v>3.59</v>
      </c>
      <c r="H61" s="198">
        <v>10.39</v>
      </c>
      <c r="I61" s="199">
        <f t="shared" si="6"/>
        <v>0.1608938547486034</v>
      </c>
      <c r="J61" s="198">
        <v>8.9499999999999993</v>
      </c>
      <c r="K61" s="173"/>
      <c r="L61" s="174"/>
      <c r="M61" s="173"/>
      <c r="N61" s="175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 s="13" customFormat="1" ht="10.199999999999999">
      <c r="A62" s="171" t="s">
        <v>123</v>
      </c>
      <c r="B62" s="198"/>
      <c r="C62" s="173"/>
      <c r="D62" s="198"/>
      <c r="E62" s="198">
        <v>144.38</v>
      </c>
      <c r="F62" s="173">
        <f t="shared" si="7"/>
        <v>0.26960956735842423</v>
      </c>
      <c r="G62" s="198">
        <v>113.72</v>
      </c>
      <c r="H62" s="198">
        <v>236.82</v>
      </c>
      <c r="I62" s="199">
        <f t="shared" si="6"/>
        <v>-0.21293495961979458</v>
      </c>
      <c r="J62" s="198">
        <v>300.89</v>
      </c>
      <c r="K62" s="173"/>
      <c r="L62" s="174"/>
      <c r="M62" s="173"/>
      <c r="N62" s="175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 s="13" customFormat="1" ht="10.199999999999999">
      <c r="A63" s="171" t="s">
        <v>124</v>
      </c>
      <c r="B63" s="198"/>
      <c r="C63" s="173"/>
      <c r="D63" s="198"/>
      <c r="E63" s="198">
        <v>139.4</v>
      </c>
      <c r="F63" s="173">
        <f t="shared" si="7"/>
        <v>0.39651372470446811</v>
      </c>
      <c r="G63" s="198">
        <v>99.82</v>
      </c>
      <c r="H63" s="198">
        <v>231.13</v>
      </c>
      <c r="I63" s="199">
        <f t="shared" si="6"/>
        <v>-6.8662610307450467E-2</v>
      </c>
      <c r="J63" s="198">
        <v>248.17</v>
      </c>
      <c r="K63" s="180"/>
      <c r="L63" s="174"/>
      <c r="M63" s="180"/>
      <c r="N63" s="175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1:25" s="13" customFormat="1" ht="10.199999999999999">
      <c r="A64" s="171" t="s">
        <v>125</v>
      </c>
      <c r="B64" s="201"/>
      <c r="C64" s="173"/>
      <c r="D64" s="201"/>
      <c r="E64" s="201">
        <v>47.1</v>
      </c>
      <c r="F64" s="173">
        <f t="shared" si="7"/>
        <v>-0.33276668083297922</v>
      </c>
      <c r="G64" s="201">
        <v>70.59</v>
      </c>
      <c r="H64" s="201">
        <v>137.79</v>
      </c>
      <c r="I64" s="199">
        <f t="shared" si="6"/>
        <v>-8.3294524649058732E-2</v>
      </c>
      <c r="J64" s="201">
        <v>150.31</v>
      </c>
      <c r="K64" s="173"/>
      <c r="L64" s="183"/>
      <c r="M64" s="173"/>
      <c r="N64" s="182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s="13" customFormat="1" ht="10.199999999999999">
      <c r="A65" s="171" t="s">
        <v>126</v>
      </c>
      <c r="B65" s="201"/>
      <c r="C65" s="173"/>
      <c r="D65" s="201"/>
      <c r="E65" s="201">
        <v>36.6</v>
      </c>
      <c r="F65" s="173">
        <f t="shared" si="7"/>
        <v>0.38321995464852598</v>
      </c>
      <c r="G65" s="201">
        <v>26.46</v>
      </c>
      <c r="H65" s="201">
        <v>79.900000000000006</v>
      </c>
      <c r="I65" s="199">
        <f t="shared" si="6"/>
        <v>-0.1120248944209824</v>
      </c>
      <c r="J65" s="201">
        <v>89.98</v>
      </c>
      <c r="K65" s="173"/>
      <c r="L65" s="183"/>
      <c r="M65" s="173"/>
      <c r="N65" s="182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 s="13" customFormat="1" ht="10.199999999999999">
      <c r="A66" s="179" t="s">
        <v>105</v>
      </c>
      <c r="B66" s="202"/>
      <c r="C66" s="173"/>
      <c r="D66" s="202"/>
      <c r="E66" s="202">
        <f>E44</f>
        <v>642.58000000000004</v>
      </c>
      <c r="F66" s="173">
        <f t="shared" si="7"/>
        <v>0.16167404863057055</v>
      </c>
      <c r="G66" s="202">
        <f>G44</f>
        <v>553.15</v>
      </c>
      <c r="H66" s="202">
        <f>H44</f>
        <v>1242.95</v>
      </c>
      <c r="I66" s="199">
        <f t="shared" si="6"/>
        <v>0.10274677502351071</v>
      </c>
      <c r="J66" s="202">
        <f>J44</f>
        <v>1127.1400000000001</v>
      </c>
      <c r="K66" s="173"/>
      <c r="L66" s="185"/>
      <c r="M66" s="173"/>
      <c r="N66" s="182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s="13" customFormat="1" ht="10.199999999999999">
      <c r="A67" s="179" t="s">
        <v>106</v>
      </c>
      <c r="B67" s="202"/>
      <c r="C67" s="173"/>
      <c r="D67" s="202"/>
      <c r="E67" s="202">
        <f>E45</f>
        <v>162.82</v>
      </c>
      <c r="F67" s="173">
        <f t="shared" si="7"/>
        <v>0.1848348129820987</v>
      </c>
      <c r="G67" s="202">
        <f>G45</f>
        <v>137.41999999999999</v>
      </c>
      <c r="H67" s="202">
        <f>H45</f>
        <v>320.36</v>
      </c>
      <c r="I67" s="199">
        <f t="shared" si="6"/>
        <v>8.7735977183213576E-2</v>
      </c>
      <c r="J67" s="202">
        <f>J45</f>
        <v>294.52</v>
      </c>
      <c r="K67" s="173"/>
      <c r="L67" s="185"/>
      <c r="M67" s="173"/>
      <c r="N67" s="182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1:25" s="4" customFormat="1" ht="10.199999999999999">
      <c r="A68" s="179" t="s">
        <v>127</v>
      </c>
      <c r="B68" s="200"/>
      <c r="C68" s="173"/>
      <c r="D68" s="200"/>
      <c r="E68" s="200">
        <f>E46+E47+E48+E49+E50+E51+E52+E53+E54+E55</f>
        <v>176.67</v>
      </c>
      <c r="F68" s="173">
        <f t="shared" si="7"/>
        <v>0.19808761698087607</v>
      </c>
      <c r="G68" s="200">
        <f>G46+G47+G48+G49+G50+G51+G52+G53+G54+G55</f>
        <v>147.46</v>
      </c>
      <c r="H68" s="200">
        <f>H46+H47+H48+H49+H50+H51+H52+H53+H54+H55</f>
        <v>418.65000000000003</v>
      </c>
      <c r="I68" s="199">
        <f t="shared" si="6"/>
        <v>0.23619559440146487</v>
      </c>
      <c r="J68" s="200">
        <f>J46+J47+J48+J49+J50+J51+J52+J53+J54+J55</f>
        <v>338.65999999999997</v>
      </c>
      <c r="K68" s="173"/>
      <c r="L68" s="178"/>
      <c r="M68" s="173"/>
      <c r="N68" s="186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s="4" customFormat="1" ht="10.199999999999999">
      <c r="A69" s="179" t="s">
        <v>128</v>
      </c>
      <c r="B69" s="200"/>
      <c r="C69" s="173"/>
      <c r="D69" s="200"/>
      <c r="E69" s="200">
        <f>E56+E57+E58+E59+E60+E61</f>
        <v>156.60999999999999</v>
      </c>
      <c r="F69" s="173">
        <f t="shared" si="7"/>
        <v>0.22985707554578272</v>
      </c>
      <c r="G69" s="200">
        <f>G56+G57+G58+G59+G60+G61</f>
        <v>127.34</v>
      </c>
      <c r="H69" s="200">
        <f>H56+H57+H58+H59+H60+H61</f>
        <v>302.53999999999996</v>
      </c>
      <c r="I69" s="199">
        <f t="shared" si="6"/>
        <v>0.10926156779350293</v>
      </c>
      <c r="J69" s="200">
        <f>J56+J57+J58+J59+J60+J61</f>
        <v>272.73999999999995</v>
      </c>
      <c r="K69" s="173"/>
      <c r="L69" s="178"/>
      <c r="M69" s="173"/>
      <c r="N69" s="186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s="13" customFormat="1" ht="10.199999999999999">
      <c r="A70" s="179" t="s">
        <v>129</v>
      </c>
      <c r="B70" s="200"/>
      <c r="C70" s="173"/>
      <c r="D70" s="200"/>
      <c r="E70" s="200">
        <f>E62+E63+E64+E65</f>
        <v>367.48</v>
      </c>
      <c r="F70" s="173">
        <f t="shared" si="7"/>
        <v>0.18316751988151592</v>
      </c>
      <c r="G70" s="200">
        <f>G62+G63+G64+G65</f>
        <v>310.58999999999997</v>
      </c>
      <c r="H70" s="200">
        <f>H62+H63+H64+H65</f>
        <v>685.64</v>
      </c>
      <c r="I70" s="199">
        <f t="shared" si="6"/>
        <v>-0.13138658389814395</v>
      </c>
      <c r="J70" s="200">
        <f>J62+J63+J64+J65</f>
        <v>789.34999999999991</v>
      </c>
      <c r="K70" s="173"/>
      <c r="L70" s="178"/>
      <c r="M70" s="173"/>
      <c r="N70" s="186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spans="1:25" s="165" customFormat="1" ht="10.199999999999999" customHeight="1">
      <c r="A71" s="187" t="s">
        <v>133</v>
      </c>
      <c r="B71" s="203"/>
      <c r="C71" s="163"/>
      <c r="D71" s="203"/>
      <c r="E71" s="203">
        <f>SUM(E66:E70)</f>
        <v>1506.16</v>
      </c>
      <c r="F71" s="163">
        <f t="shared" si="7"/>
        <v>0.18041317909652332</v>
      </c>
      <c r="G71" s="203">
        <f>SUM(G66:G70)</f>
        <v>1275.96</v>
      </c>
      <c r="H71" s="203">
        <f>SUM(H66:H70)</f>
        <v>2970.14</v>
      </c>
      <c r="I71" s="298">
        <f t="shared" ref="I71" si="8">IF((+H71/J71)&lt;0,"n.m.",IF(H71&lt;0,(+H71/J71-1)*-1,(+H71/J71-1)))</f>
        <v>5.2341793006685844E-2</v>
      </c>
      <c r="J71" s="203">
        <f>SUM(J66:J70)</f>
        <v>2822.41</v>
      </c>
      <c r="K71" s="163">
        <f>(J71-L71)/L71</f>
        <v>-3.5027317546822694E-2</v>
      </c>
      <c r="L71" s="203">
        <v>2924.8599999999997</v>
      </c>
      <c r="M71" s="163">
        <f>(L71-N71)/N71</f>
        <v>1.5735097497872913E-2</v>
      </c>
      <c r="N71" s="203">
        <v>2879.5499999999997</v>
      </c>
    </row>
    <row r="72" spans="1:25" ht="10.199999999999999" customHeight="1">
      <c r="A72" s="171"/>
      <c r="B72" s="179"/>
      <c r="C72" s="173"/>
      <c r="D72" s="179"/>
      <c r="E72" s="179"/>
      <c r="F72" s="173"/>
      <c r="G72" s="179"/>
      <c r="H72" s="179"/>
      <c r="I72" s="168"/>
      <c r="J72" s="179"/>
      <c r="K72" s="168"/>
      <c r="L72" s="179"/>
      <c r="M72" s="164"/>
      <c r="N72" s="179"/>
    </row>
    <row r="73" spans="1:25" ht="10.199999999999999" customHeight="1">
      <c r="A73" s="204" t="s">
        <v>5</v>
      </c>
      <c r="B73" s="205"/>
      <c r="C73" s="173"/>
      <c r="D73" s="205"/>
      <c r="E73" s="205"/>
      <c r="F73" s="173"/>
      <c r="G73" s="205"/>
      <c r="H73" s="205"/>
      <c r="I73" s="168"/>
      <c r="J73" s="205"/>
      <c r="K73" s="168"/>
      <c r="L73" s="205"/>
      <c r="M73" s="168"/>
      <c r="N73" s="205"/>
    </row>
    <row r="74" spans="1:25" s="4" customFormat="1" ht="10.199999999999999">
      <c r="A74" s="171" t="s">
        <v>105</v>
      </c>
      <c r="B74" s="198"/>
      <c r="C74" s="173"/>
      <c r="D74" s="198"/>
      <c r="E74" s="198">
        <v>1176.24</v>
      </c>
      <c r="F74" s="173">
        <f t="shared" ref="F74:F86" si="9">IF((+E74/G74)&lt;0,"n.m.",IF(E74&lt;0,(+E74/G74-1)*-1,(+E74/G74-1)))</f>
        <v>0.18292351787599936</v>
      </c>
      <c r="G74" s="198">
        <v>994.35</v>
      </c>
      <c r="H74" s="198">
        <v>1099.08</v>
      </c>
      <c r="I74" s="199">
        <f t="shared" ref="I74:I100" si="10">IF((+H74/J74)&lt;0,"n.m.",IF(H74&lt;0,(+H74/J74-1)*-1,(+H74/J74-1)))</f>
        <v>8.8801711840228004E-2</v>
      </c>
      <c r="J74" s="198">
        <v>1009.44</v>
      </c>
      <c r="K74" s="173"/>
      <c r="L74" s="174"/>
      <c r="M74" s="173"/>
      <c r="N74" s="175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s="4" customFormat="1" ht="10.199999999999999">
      <c r="A75" s="171" t="s">
        <v>106</v>
      </c>
      <c r="B75" s="198"/>
      <c r="C75" s="173"/>
      <c r="D75" s="198"/>
      <c r="E75" s="198">
        <v>550.97</v>
      </c>
      <c r="F75" s="173">
        <f t="shared" si="9"/>
        <v>7.165502888374542E-2</v>
      </c>
      <c r="G75" s="198">
        <v>514.13</v>
      </c>
      <c r="H75" s="198">
        <v>519.65</v>
      </c>
      <c r="I75" s="199">
        <f t="shared" si="10"/>
        <v>0.27433910441904952</v>
      </c>
      <c r="J75" s="198">
        <v>407.78</v>
      </c>
      <c r="K75" s="173"/>
      <c r="L75" s="174"/>
      <c r="M75" s="173"/>
      <c r="N75" s="175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s="4" customFormat="1" ht="10.199999999999999">
      <c r="A76" s="171" t="s">
        <v>107</v>
      </c>
      <c r="B76" s="198"/>
      <c r="C76" s="173"/>
      <c r="D76" s="198"/>
      <c r="E76" s="198">
        <v>49.67</v>
      </c>
      <c r="F76" s="173">
        <f t="shared" si="9"/>
        <v>1.4650124069478911</v>
      </c>
      <c r="G76" s="198">
        <v>20.149999999999999</v>
      </c>
      <c r="H76" s="198">
        <v>44.65</v>
      </c>
      <c r="I76" s="199">
        <f t="shared" si="10"/>
        <v>1.2049382716049384</v>
      </c>
      <c r="J76" s="198">
        <v>20.25</v>
      </c>
      <c r="K76" s="173"/>
      <c r="L76" s="174"/>
      <c r="M76" s="173"/>
      <c r="N76" s="175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s="4" customFormat="1" ht="10.199999999999999">
      <c r="A77" s="171" t="s">
        <v>108</v>
      </c>
      <c r="B77" s="198"/>
      <c r="C77" s="173"/>
      <c r="D77" s="198"/>
      <c r="E77" s="198">
        <v>13.6</v>
      </c>
      <c r="F77" s="173">
        <f t="shared" si="9"/>
        <v>-0.11052975801177234</v>
      </c>
      <c r="G77" s="198">
        <v>15.29</v>
      </c>
      <c r="H77" s="198">
        <v>11.55</v>
      </c>
      <c r="I77" s="199">
        <f t="shared" si="10"/>
        <v>0.43835616438356184</v>
      </c>
      <c r="J77" s="198">
        <v>8.0299999999999994</v>
      </c>
      <c r="K77" s="173"/>
      <c r="L77" s="174"/>
      <c r="M77" s="173"/>
      <c r="N77" s="175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s="13" customFormat="1" ht="10.199999999999999">
      <c r="A78" s="171" t="s">
        <v>109</v>
      </c>
      <c r="B78" s="198"/>
      <c r="C78" s="173"/>
      <c r="D78" s="198"/>
      <c r="E78" s="198">
        <v>24.64</v>
      </c>
      <c r="F78" s="173">
        <f t="shared" si="9"/>
        <v>-0.24231242312423129</v>
      </c>
      <c r="G78" s="198">
        <v>32.520000000000003</v>
      </c>
      <c r="H78" s="198">
        <v>21.55</v>
      </c>
      <c r="I78" s="199">
        <f t="shared" si="10"/>
        <v>0.67965705378020269</v>
      </c>
      <c r="J78" s="198">
        <v>12.83</v>
      </c>
      <c r="K78" s="173"/>
      <c r="L78" s="174"/>
      <c r="M78" s="173"/>
      <c r="N78" s="175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s="13" customFormat="1" ht="10.199999999999999">
      <c r="A79" s="171" t="s">
        <v>110</v>
      </c>
      <c r="B79" s="198"/>
      <c r="C79" s="173"/>
      <c r="D79" s="198"/>
      <c r="E79" s="198">
        <v>66.97</v>
      </c>
      <c r="F79" s="173">
        <f t="shared" si="9"/>
        <v>-6.8826473859844306E-2</v>
      </c>
      <c r="G79" s="198">
        <v>71.92</v>
      </c>
      <c r="H79" s="198">
        <v>68.099999999999994</v>
      </c>
      <c r="I79" s="199">
        <f t="shared" si="10"/>
        <v>77.275862068965509</v>
      </c>
      <c r="J79" s="198">
        <v>0.87</v>
      </c>
      <c r="K79" s="173"/>
      <c r="L79" s="174"/>
      <c r="M79" s="173"/>
      <c r="N79" s="175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1:25" s="13" customFormat="1" ht="10.199999999999999">
      <c r="A80" s="171" t="s">
        <v>111</v>
      </c>
      <c r="B80" s="198"/>
      <c r="C80" s="173"/>
      <c r="D80" s="198"/>
      <c r="E80" s="198">
        <v>18.89</v>
      </c>
      <c r="F80" s="173">
        <f t="shared" si="9"/>
        <v>0.84113060428849917</v>
      </c>
      <c r="G80" s="198">
        <v>10.26</v>
      </c>
      <c r="H80" s="198">
        <v>26.6</v>
      </c>
      <c r="I80" s="199">
        <f t="shared" si="10"/>
        <v>3.0672782874617743</v>
      </c>
      <c r="J80" s="198">
        <v>6.54</v>
      </c>
      <c r="K80" s="173"/>
      <c r="L80" s="174"/>
      <c r="M80" s="173"/>
      <c r="N80" s="175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spans="1:25" s="13" customFormat="1" ht="10.199999999999999">
      <c r="A81" s="171" t="s">
        <v>112</v>
      </c>
      <c r="B81" s="198"/>
      <c r="C81" s="173"/>
      <c r="D81" s="198"/>
      <c r="E81" s="198">
        <v>9.89</v>
      </c>
      <c r="F81" s="173">
        <f t="shared" si="9"/>
        <v>0.36413793103448278</v>
      </c>
      <c r="G81" s="198">
        <v>7.25</v>
      </c>
      <c r="H81" s="198">
        <v>6.37</v>
      </c>
      <c r="I81" s="199">
        <f t="shared" si="10"/>
        <v>-0.22317073170731694</v>
      </c>
      <c r="J81" s="198">
        <v>8.1999999999999993</v>
      </c>
      <c r="K81" s="173"/>
      <c r="L81" s="174"/>
      <c r="M81" s="173"/>
      <c r="N81" s="175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1:25" s="13" customFormat="1" ht="10.199999999999999">
      <c r="A82" s="171" t="s">
        <v>113</v>
      </c>
      <c r="B82" s="198"/>
      <c r="C82" s="173"/>
      <c r="D82" s="198"/>
      <c r="E82" s="198">
        <v>3.99</v>
      </c>
      <c r="F82" s="173">
        <f t="shared" si="9"/>
        <v>0.97524752475247523</v>
      </c>
      <c r="G82" s="198">
        <v>2.02</v>
      </c>
      <c r="H82" s="198">
        <v>4.37</v>
      </c>
      <c r="I82" s="199">
        <f t="shared" si="10"/>
        <v>1.4277777777777776</v>
      </c>
      <c r="J82" s="198">
        <v>1.8</v>
      </c>
      <c r="K82" s="173"/>
      <c r="L82" s="174"/>
      <c r="M82" s="173"/>
      <c r="N82" s="175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25" s="13" customFormat="1" ht="10.199999999999999">
      <c r="A83" s="171" t="s">
        <v>114</v>
      </c>
      <c r="B83" s="198"/>
      <c r="C83" s="173"/>
      <c r="D83" s="198"/>
      <c r="E83" s="198">
        <v>0.02</v>
      </c>
      <c r="F83" s="173">
        <f t="shared" si="9"/>
        <v>-0.5</v>
      </c>
      <c r="G83" s="198">
        <v>0.04</v>
      </c>
      <c r="H83" s="198">
        <v>0.02</v>
      </c>
      <c r="I83" s="199">
        <f t="shared" si="10"/>
        <v>-0.60000000000000009</v>
      </c>
      <c r="J83" s="198">
        <v>0.05</v>
      </c>
      <c r="K83" s="173"/>
      <c r="L83" s="174"/>
      <c r="M83" s="173"/>
      <c r="N83" s="175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25" s="13" customFormat="1" ht="10.199999999999999">
      <c r="A84" s="171" t="s">
        <v>115</v>
      </c>
      <c r="B84" s="198"/>
      <c r="C84" s="173"/>
      <c r="D84" s="198"/>
      <c r="E84" s="198">
        <v>1.84</v>
      </c>
      <c r="F84" s="173"/>
      <c r="G84" s="198">
        <v>0</v>
      </c>
      <c r="H84" s="198">
        <v>0</v>
      </c>
      <c r="I84" s="199"/>
      <c r="J84" s="198">
        <v>0</v>
      </c>
      <c r="K84" s="173"/>
      <c r="L84" s="174"/>
      <c r="M84" s="173"/>
      <c r="N84" s="175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s="13" customFormat="1" ht="10.199999999999999">
      <c r="A85" s="171" t="s">
        <v>116</v>
      </c>
      <c r="B85" s="198"/>
      <c r="C85" s="173"/>
      <c r="D85" s="198"/>
      <c r="E85" s="198">
        <v>0</v>
      </c>
      <c r="F85" s="173">
        <f t="shared" si="9"/>
        <v>-1</v>
      </c>
      <c r="G85" s="198">
        <v>0.03</v>
      </c>
      <c r="H85" s="198">
        <v>0.03</v>
      </c>
      <c r="I85" s="199">
        <f t="shared" si="10"/>
        <v>-0.25</v>
      </c>
      <c r="J85" s="198">
        <v>0.04</v>
      </c>
      <c r="K85" s="173"/>
      <c r="L85" s="174"/>
      <c r="M85" s="173"/>
      <c r="N85" s="175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s="13" customFormat="1" ht="10.199999999999999">
      <c r="A86" s="171" t="s">
        <v>117</v>
      </c>
      <c r="B86" s="198"/>
      <c r="C86" s="173"/>
      <c r="D86" s="198"/>
      <c r="E86" s="198">
        <v>38.130000000000003</v>
      </c>
      <c r="F86" s="173">
        <f t="shared" si="9"/>
        <v>0.20170185943901675</v>
      </c>
      <c r="G86" s="198">
        <v>31.73</v>
      </c>
      <c r="H86" s="198">
        <v>14.17</v>
      </c>
      <c r="I86" s="199">
        <f t="shared" si="10"/>
        <v>-0.70626036484245436</v>
      </c>
      <c r="J86" s="198">
        <v>48.24</v>
      </c>
      <c r="K86" s="173"/>
      <c r="L86" s="174"/>
      <c r="M86" s="173"/>
      <c r="N86" s="175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s="13" customFormat="1" ht="10.199999999999999">
      <c r="A87" s="171" t="s">
        <v>118</v>
      </c>
      <c r="B87" s="200"/>
      <c r="C87" s="173"/>
      <c r="D87" s="200"/>
      <c r="E87" s="200">
        <v>29.19</v>
      </c>
      <c r="F87" s="173">
        <f t="shared" ref="F87:F101" si="11">IF((+E87/G87)&lt;0,"n.m.",IF(E87&lt;0,(+E87/G87-1)*-1,(+E87/G87-1)))</f>
        <v>0.23216547066272697</v>
      </c>
      <c r="G87" s="200">
        <v>23.69</v>
      </c>
      <c r="H87" s="200">
        <v>52.98</v>
      </c>
      <c r="I87" s="199">
        <f t="shared" si="10"/>
        <v>-7.5231279455402422E-2</v>
      </c>
      <c r="J87" s="200">
        <v>57.29</v>
      </c>
      <c r="K87" s="173"/>
      <c r="L87" s="178"/>
      <c r="M87" s="173"/>
      <c r="N87" s="17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s="13" customFormat="1" ht="10.199999999999999">
      <c r="A88" s="171" t="s">
        <v>119</v>
      </c>
      <c r="B88" s="198"/>
      <c r="C88" s="173"/>
      <c r="D88" s="198"/>
      <c r="E88" s="198">
        <v>24.9</v>
      </c>
      <c r="F88" s="173">
        <f t="shared" si="11"/>
        <v>3.797687861271676</v>
      </c>
      <c r="G88" s="198">
        <v>5.19</v>
      </c>
      <c r="H88" s="198">
        <v>3.94</v>
      </c>
      <c r="I88" s="342" t="s">
        <v>14</v>
      </c>
      <c r="J88" s="198">
        <v>0.01</v>
      </c>
      <c r="K88" s="173"/>
      <c r="L88" s="174"/>
      <c r="M88" s="173"/>
      <c r="N88" s="175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s="4" customFormat="1" ht="10.199999999999999">
      <c r="A89" s="171" t="s">
        <v>120</v>
      </c>
      <c r="B89" s="198"/>
      <c r="C89" s="173"/>
      <c r="D89" s="198"/>
      <c r="E89" s="198">
        <v>1121.23</v>
      </c>
      <c r="F89" s="173">
        <f t="shared" si="11"/>
        <v>-5.0038549847918667E-2</v>
      </c>
      <c r="G89" s="198">
        <v>1180.29</v>
      </c>
      <c r="H89" s="198">
        <v>1235.03</v>
      </c>
      <c r="I89" s="199">
        <f t="shared" si="10"/>
        <v>-1.3199632455754839E-2</v>
      </c>
      <c r="J89" s="198">
        <v>1251.55</v>
      </c>
      <c r="K89" s="173"/>
      <c r="L89" s="174"/>
      <c r="M89" s="173"/>
      <c r="N89" s="175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s="13" customFormat="1" ht="10.199999999999999">
      <c r="A90" s="171" t="s">
        <v>121</v>
      </c>
      <c r="B90" s="198"/>
      <c r="C90" s="173"/>
      <c r="D90" s="198"/>
      <c r="E90" s="198">
        <v>20.21</v>
      </c>
      <c r="F90" s="173">
        <f t="shared" si="11"/>
        <v>-0.16036560033236391</v>
      </c>
      <c r="G90" s="198">
        <v>24.07</v>
      </c>
      <c r="H90" s="198">
        <v>22.68</v>
      </c>
      <c r="I90" s="199">
        <f t="shared" si="10"/>
        <v>13.086956521739129</v>
      </c>
      <c r="J90" s="198">
        <v>1.61</v>
      </c>
      <c r="K90" s="173"/>
      <c r="L90" s="174"/>
      <c r="M90" s="173"/>
      <c r="N90" s="175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s="13" customFormat="1" ht="10.199999999999999">
      <c r="A91" s="171" t="s">
        <v>122</v>
      </c>
      <c r="B91" s="198"/>
      <c r="C91" s="173"/>
      <c r="D91" s="198"/>
      <c r="E91" s="198">
        <v>79.239999999999995</v>
      </c>
      <c r="F91" s="173">
        <f t="shared" si="11"/>
        <v>-0.18030412744388136</v>
      </c>
      <c r="G91" s="198">
        <v>96.67</v>
      </c>
      <c r="H91" s="198">
        <v>85.1</v>
      </c>
      <c r="I91" s="199">
        <f t="shared" si="10"/>
        <v>3.0485252140818266</v>
      </c>
      <c r="J91" s="198">
        <v>21.02</v>
      </c>
      <c r="K91" s="173"/>
      <c r="L91" s="174"/>
      <c r="M91" s="173"/>
      <c r="N91" s="175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s="13" customFormat="1" ht="10.199999999999999">
      <c r="A92" s="171" t="s">
        <v>123</v>
      </c>
      <c r="B92" s="198"/>
      <c r="C92" s="173"/>
      <c r="D92" s="198"/>
      <c r="E92" s="198">
        <v>624.57000000000005</v>
      </c>
      <c r="F92" s="173">
        <f t="shared" si="11"/>
        <v>0.32909856996935649</v>
      </c>
      <c r="G92" s="198">
        <v>469.92</v>
      </c>
      <c r="H92" s="198">
        <v>512.26</v>
      </c>
      <c r="I92" s="199">
        <f t="shared" si="10"/>
        <v>-5.9417575557269342E-2</v>
      </c>
      <c r="J92" s="198">
        <v>544.62</v>
      </c>
      <c r="K92" s="173"/>
      <c r="L92" s="174"/>
      <c r="M92" s="173"/>
      <c r="N92" s="175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s="13" customFormat="1" ht="10.199999999999999">
      <c r="A93" s="171" t="s">
        <v>124</v>
      </c>
      <c r="B93" s="198"/>
      <c r="C93" s="173"/>
      <c r="D93" s="198"/>
      <c r="E93" s="198">
        <v>447.05</v>
      </c>
      <c r="F93" s="173">
        <f t="shared" si="11"/>
        <v>-0.30892423750560372</v>
      </c>
      <c r="G93" s="198">
        <v>646.89</v>
      </c>
      <c r="H93" s="198">
        <v>560.69000000000005</v>
      </c>
      <c r="I93" s="199">
        <f t="shared" si="10"/>
        <v>-3.7326373984856387E-2</v>
      </c>
      <c r="J93" s="198">
        <v>582.42999999999995</v>
      </c>
      <c r="K93" s="180"/>
      <c r="L93" s="174"/>
      <c r="M93" s="180"/>
      <c r="N93" s="175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s="13" customFormat="1" ht="10.199999999999999">
      <c r="A94" s="171" t="s">
        <v>125</v>
      </c>
      <c r="B94" s="201"/>
      <c r="C94" s="173"/>
      <c r="D94" s="201"/>
      <c r="E94" s="201">
        <v>97.35</v>
      </c>
      <c r="F94" s="173">
        <f t="shared" si="11"/>
        <v>-2.5232802643436525E-2</v>
      </c>
      <c r="G94" s="201">
        <v>99.87</v>
      </c>
      <c r="H94" s="201">
        <v>98.649999999999991</v>
      </c>
      <c r="I94" s="199">
        <f t="shared" si="10"/>
        <v>-0.11864558206021636</v>
      </c>
      <c r="J94" s="201">
        <v>111.93</v>
      </c>
      <c r="K94" s="173"/>
      <c r="L94" s="183"/>
      <c r="M94" s="173"/>
      <c r="N94" s="182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s="13" customFormat="1" ht="10.199999999999999">
      <c r="A95" s="171" t="s">
        <v>126</v>
      </c>
      <c r="B95" s="201"/>
      <c r="C95" s="173"/>
      <c r="D95" s="201"/>
      <c r="E95" s="201">
        <v>277.52999999999997</v>
      </c>
      <c r="F95" s="173">
        <f t="shared" si="11"/>
        <v>0.53204526635385019</v>
      </c>
      <c r="G95" s="201">
        <v>181.15</v>
      </c>
      <c r="H95" s="201">
        <v>183.74</v>
      </c>
      <c r="I95" s="199">
        <f t="shared" si="10"/>
        <v>0.70524361948955927</v>
      </c>
      <c r="J95" s="201">
        <v>107.75</v>
      </c>
      <c r="K95" s="173"/>
      <c r="L95" s="183"/>
      <c r="M95" s="173"/>
      <c r="N95" s="182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s="13" customFormat="1" ht="10.199999999999999">
      <c r="A96" s="179" t="s">
        <v>105</v>
      </c>
      <c r="B96" s="202"/>
      <c r="C96" s="173"/>
      <c r="D96" s="202"/>
      <c r="E96" s="202">
        <f>E74</f>
        <v>1176.24</v>
      </c>
      <c r="F96" s="173">
        <f t="shared" si="11"/>
        <v>0.18292351787599936</v>
      </c>
      <c r="G96" s="202">
        <f>G74</f>
        <v>994.35</v>
      </c>
      <c r="H96" s="202">
        <f>H74</f>
        <v>1099.08</v>
      </c>
      <c r="I96" s="199">
        <f t="shared" si="10"/>
        <v>8.8801711840228004E-2</v>
      </c>
      <c r="J96" s="202">
        <f>J74</f>
        <v>1009.44</v>
      </c>
      <c r="K96" s="173"/>
      <c r="L96" s="185"/>
      <c r="M96" s="173"/>
      <c r="N96" s="182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s="13" customFormat="1" ht="10.199999999999999">
      <c r="A97" s="179" t="s">
        <v>106</v>
      </c>
      <c r="B97" s="202"/>
      <c r="C97" s="173"/>
      <c r="D97" s="202"/>
      <c r="E97" s="202">
        <f>E75</f>
        <v>550.97</v>
      </c>
      <c r="F97" s="173">
        <f t="shared" si="11"/>
        <v>7.165502888374542E-2</v>
      </c>
      <c r="G97" s="202">
        <f>G75</f>
        <v>514.13</v>
      </c>
      <c r="H97" s="202">
        <f>H75</f>
        <v>519.65</v>
      </c>
      <c r="I97" s="199">
        <f t="shared" si="10"/>
        <v>0.27433910441904952</v>
      </c>
      <c r="J97" s="202">
        <f>J75</f>
        <v>407.78</v>
      </c>
      <c r="K97" s="173"/>
      <c r="L97" s="185"/>
      <c r="M97" s="173"/>
      <c r="N97" s="182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s="4" customFormat="1" ht="10.199999999999999">
      <c r="A98" s="179" t="s">
        <v>127</v>
      </c>
      <c r="B98" s="200"/>
      <c r="C98" s="173"/>
      <c r="D98" s="200"/>
      <c r="E98" s="200">
        <f>E76+E77+E78+E79+E80+E81+E82+E83+E84+E85</f>
        <v>189.51</v>
      </c>
      <c r="F98" s="173">
        <f t="shared" si="11"/>
        <v>0.18829947328818664</v>
      </c>
      <c r="G98" s="200">
        <f>G76+G77+G78+G79+G80+G81+G82+G83+G84+G85</f>
        <v>159.47999999999999</v>
      </c>
      <c r="H98" s="200">
        <f>H76+H77+H78+H79+H80+H81+H82+H83+H84+H85</f>
        <v>183.24</v>
      </c>
      <c r="I98" s="199">
        <f t="shared" si="10"/>
        <v>2.1264289370414611</v>
      </c>
      <c r="J98" s="200">
        <f>J76+J77+J78+J79+J80+J81+J82+J83+J84+J85</f>
        <v>58.609999999999992</v>
      </c>
      <c r="K98" s="173"/>
      <c r="L98" s="178"/>
      <c r="M98" s="173"/>
      <c r="N98" s="186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s="4" customFormat="1" ht="10.199999999999999">
      <c r="A99" s="179" t="s">
        <v>128</v>
      </c>
      <c r="B99" s="200"/>
      <c r="C99" s="173"/>
      <c r="D99" s="200"/>
      <c r="E99" s="200">
        <f>E86+E87+E88+E89+E90+E91</f>
        <v>1312.9</v>
      </c>
      <c r="F99" s="173">
        <f t="shared" si="11"/>
        <v>-3.5795070650098237E-2</v>
      </c>
      <c r="G99" s="200">
        <f>G86+G87+G88+G89+G90+G91</f>
        <v>1361.6399999999999</v>
      </c>
      <c r="H99" s="328">
        <f>H86+H87+H88+H89+H90+H91</f>
        <v>1413.8999999999999</v>
      </c>
      <c r="I99" s="199">
        <f t="shared" si="10"/>
        <v>2.477314237671413E-2</v>
      </c>
      <c r="J99" s="328">
        <f>J86+J87+J88+J89+J90+J91</f>
        <v>1379.7199999999998</v>
      </c>
      <c r="K99" s="173"/>
      <c r="L99" s="178"/>
      <c r="M99" s="173"/>
      <c r="N99" s="186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s="13" customFormat="1" ht="10.199999999999999">
      <c r="A100" s="179" t="s">
        <v>129</v>
      </c>
      <c r="B100" s="200"/>
      <c r="C100" s="173"/>
      <c r="D100" s="200"/>
      <c r="E100" s="200">
        <f>E92+E93+E94+E95</f>
        <v>1446.5</v>
      </c>
      <c r="F100" s="173">
        <f t="shared" si="11"/>
        <v>3.4818254007998206E-2</v>
      </c>
      <c r="G100" s="200">
        <f>G92+G93+G94+G95</f>
        <v>1397.83</v>
      </c>
      <c r="H100" s="329">
        <f>H92+H93+H94+H95</f>
        <v>1355.3400000000001</v>
      </c>
      <c r="I100" s="330">
        <f t="shared" si="10"/>
        <v>6.3932636831436351E-3</v>
      </c>
      <c r="J100" s="329">
        <f>J92+J93+J94+J95</f>
        <v>1346.73</v>
      </c>
      <c r="K100" s="173"/>
      <c r="L100" s="178"/>
      <c r="M100" s="173"/>
      <c r="N100" s="186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s="165" customFormat="1" ht="10.199999999999999" customHeight="1">
      <c r="A101" s="161" t="s">
        <v>134</v>
      </c>
      <c r="B101" s="162"/>
      <c r="C101" s="163"/>
      <c r="D101" s="162"/>
      <c r="E101" s="162">
        <f>SUM(E96:E100)</f>
        <v>4676.12</v>
      </c>
      <c r="F101" s="163">
        <f t="shared" si="11"/>
        <v>5.6170283889299011E-2</v>
      </c>
      <c r="G101" s="162">
        <f>SUM(G96:G100)</f>
        <v>4427.43</v>
      </c>
      <c r="H101" s="162">
        <f>SUM(H96:H100)</f>
        <v>4571.21</v>
      </c>
      <c r="I101" s="331">
        <f t="shared" ref="I101" si="12">IF((+H101/J101)&lt;0,"n.m.",IF(H101&lt;0,(+H101/J101-1)*-1,(+H101/J101-1)))</f>
        <v>8.7792817232549947E-2</v>
      </c>
      <c r="J101" s="162">
        <f>SUM(J96:J100)</f>
        <v>4202.28</v>
      </c>
      <c r="K101" s="163">
        <f>(J101-L101)/L101</f>
        <v>4.059846520715242E-2</v>
      </c>
      <c r="L101" s="162">
        <v>4038.33</v>
      </c>
      <c r="M101" s="163">
        <f>(L101-N101)/N101</f>
        <v>6.7708553661322432E-2</v>
      </c>
      <c r="N101" s="162">
        <v>3782.24</v>
      </c>
    </row>
    <row r="102" spans="1:25" ht="12" customHeight="1">
      <c r="L102" s="206"/>
      <c r="M102" s="206"/>
      <c r="N102" s="206"/>
    </row>
    <row r="103" spans="1:25" ht="12" customHeight="1">
      <c r="L103" s="206"/>
      <c r="M103" s="206"/>
      <c r="N103" s="206"/>
    </row>
    <row r="104" spans="1:25" ht="12" customHeight="1">
      <c r="L104" s="206"/>
      <c r="M104" s="206"/>
      <c r="N104" s="206"/>
    </row>
    <row r="105" spans="1:25" ht="12" customHeight="1">
      <c r="L105" s="206"/>
      <c r="M105" s="206"/>
      <c r="N105" s="206"/>
    </row>
    <row r="106" spans="1:25" ht="12" customHeight="1">
      <c r="L106" s="206"/>
      <c r="M106" s="206"/>
      <c r="N106" s="206"/>
    </row>
    <row r="107" spans="1:25" ht="12" customHeight="1">
      <c r="L107" s="206"/>
      <c r="M107" s="206"/>
      <c r="N107" s="206"/>
    </row>
    <row r="108" spans="1:25" ht="12" customHeight="1">
      <c r="L108" s="206"/>
      <c r="M108" s="206"/>
      <c r="N108" s="206"/>
    </row>
    <row r="109" spans="1:25" ht="12" customHeight="1">
      <c r="L109" s="206"/>
      <c r="M109" s="206"/>
      <c r="N109" s="206"/>
    </row>
    <row r="110" spans="1:25" ht="12" customHeight="1">
      <c r="L110" s="206"/>
      <c r="M110" s="206"/>
      <c r="N110" s="206"/>
    </row>
    <row r="111" spans="1:25" ht="12" customHeight="1">
      <c r="L111" s="206"/>
      <c r="M111" s="206"/>
      <c r="N111" s="206"/>
    </row>
    <row r="112" spans="1:25" ht="12" customHeight="1">
      <c r="L112" s="206"/>
      <c r="M112" s="206"/>
      <c r="N112" s="206"/>
    </row>
    <row r="113" spans="12:14" ht="12" customHeight="1">
      <c r="L113" s="206"/>
      <c r="M113" s="206"/>
      <c r="N113" s="206"/>
    </row>
    <row r="114" spans="12:14" ht="12" customHeight="1">
      <c r="L114" s="206"/>
      <c r="M114" s="206"/>
      <c r="N114" s="206"/>
    </row>
    <row r="115" spans="12:14" ht="12" customHeight="1">
      <c r="L115" s="206"/>
      <c r="M115" s="206"/>
      <c r="N115" s="206"/>
    </row>
    <row r="116" spans="12:14" ht="12" customHeight="1">
      <c r="L116" s="206"/>
      <c r="M116" s="206"/>
      <c r="N116" s="206"/>
    </row>
    <row r="117" spans="12:14" ht="12" customHeight="1">
      <c r="L117" s="206"/>
      <c r="M117" s="206"/>
      <c r="N117" s="206"/>
    </row>
    <row r="118" spans="12:14" ht="12" customHeight="1">
      <c r="L118" s="206"/>
      <c r="M118" s="206"/>
      <c r="N118" s="206"/>
    </row>
    <row r="119" spans="12:14" ht="12" customHeight="1">
      <c r="L119" s="206"/>
      <c r="M119" s="206"/>
      <c r="N119" s="206"/>
    </row>
    <row r="120" spans="12:14" ht="12" customHeight="1">
      <c r="L120" s="206"/>
      <c r="M120" s="206"/>
      <c r="N120" s="206"/>
    </row>
    <row r="121" spans="12:14" ht="12" customHeight="1">
      <c r="L121" s="206"/>
      <c r="M121" s="206"/>
      <c r="N121" s="206"/>
    </row>
    <row r="122" spans="12:14" ht="12" customHeight="1">
      <c r="L122" s="206"/>
      <c r="M122" s="206"/>
      <c r="N122" s="206"/>
    </row>
    <row r="123" spans="12:14" ht="12" customHeight="1">
      <c r="L123" s="206"/>
      <c r="M123" s="206"/>
      <c r="N123" s="206"/>
    </row>
    <row r="124" spans="12:14" ht="12" customHeight="1">
      <c r="L124" s="206"/>
      <c r="M124" s="206"/>
      <c r="N124" s="206"/>
    </row>
    <row r="125" spans="12:14" ht="12" customHeight="1">
      <c r="L125" s="206"/>
      <c r="M125" s="206"/>
      <c r="N125" s="206"/>
    </row>
    <row r="126" spans="12:14" ht="12" customHeight="1">
      <c r="L126" s="206"/>
      <c r="M126" s="206"/>
      <c r="N126" s="206"/>
    </row>
    <row r="127" spans="12:14" ht="12" customHeight="1">
      <c r="L127" s="206"/>
      <c r="M127" s="206"/>
      <c r="N127" s="206"/>
    </row>
    <row r="128" spans="12:14" ht="12" customHeight="1">
      <c r="L128" s="206"/>
      <c r="M128" s="206"/>
      <c r="N128" s="206"/>
    </row>
    <row r="129" spans="12:14" ht="12" customHeight="1">
      <c r="L129" s="206"/>
      <c r="M129" s="206"/>
      <c r="N129" s="206"/>
    </row>
    <row r="130" spans="12:14" ht="12" customHeight="1">
      <c r="L130" s="206"/>
      <c r="M130" s="206"/>
      <c r="N130" s="206"/>
    </row>
    <row r="131" spans="12:14" ht="12" customHeight="1">
      <c r="L131" s="206"/>
      <c r="M131" s="206"/>
      <c r="N131" s="206"/>
    </row>
    <row r="132" spans="12:14" ht="12" customHeight="1">
      <c r="L132" s="206"/>
      <c r="M132" s="206"/>
      <c r="N132" s="206"/>
    </row>
    <row r="133" spans="12:14" ht="12" customHeight="1">
      <c r="L133" s="206"/>
      <c r="M133" s="206"/>
      <c r="N133" s="206"/>
    </row>
    <row r="134" spans="12:14" ht="12" customHeight="1">
      <c r="L134" s="206"/>
      <c r="M134" s="206"/>
      <c r="N134" s="206"/>
    </row>
    <row r="135" spans="12:14" ht="12" customHeight="1">
      <c r="L135" s="206"/>
      <c r="M135" s="206"/>
      <c r="N135" s="206"/>
    </row>
    <row r="136" spans="12:14" ht="12" customHeight="1">
      <c r="L136" s="206"/>
      <c r="M136" s="206"/>
      <c r="N136" s="206"/>
    </row>
    <row r="137" spans="12:14" ht="12" customHeight="1">
      <c r="L137" s="206"/>
      <c r="M137" s="206"/>
      <c r="N137" s="206"/>
    </row>
    <row r="138" spans="12:14" ht="12" customHeight="1">
      <c r="L138" s="206"/>
      <c r="M138" s="206"/>
      <c r="N138" s="206"/>
    </row>
    <row r="139" spans="12:14" ht="12" customHeight="1">
      <c r="L139" s="206"/>
      <c r="M139" s="206"/>
      <c r="N139" s="206"/>
    </row>
    <row r="140" spans="12:14" ht="12" customHeight="1">
      <c r="L140" s="206"/>
      <c r="M140" s="206"/>
      <c r="N140" s="206"/>
    </row>
    <row r="141" spans="12:14" ht="12" customHeight="1">
      <c r="L141" s="206"/>
      <c r="M141" s="206"/>
      <c r="N141" s="206"/>
    </row>
    <row r="142" spans="12:14" ht="12" customHeight="1">
      <c r="L142" s="206"/>
      <c r="M142" s="206"/>
      <c r="N142" s="206"/>
    </row>
    <row r="143" spans="12:14" ht="12" customHeight="1">
      <c r="L143" s="206"/>
      <c r="M143" s="206"/>
      <c r="N143" s="206"/>
    </row>
    <row r="144" spans="12:14" ht="12" customHeight="1">
      <c r="L144" s="206"/>
      <c r="M144" s="206"/>
      <c r="N144" s="206"/>
    </row>
    <row r="145" spans="12:14" ht="12" customHeight="1">
      <c r="L145" s="206"/>
      <c r="M145" s="206"/>
      <c r="N145" s="206"/>
    </row>
    <row r="146" spans="12:14" ht="12" customHeight="1">
      <c r="L146" s="206"/>
      <c r="M146" s="206"/>
      <c r="N146" s="206"/>
    </row>
    <row r="147" spans="12:14" ht="12" customHeight="1">
      <c r="L147" s="206"/>
      <c r="M147" s="206"/>
      <c r="N147" s="206"/>
    </row>
    <row r="148" spans="12:14" ht="12" customHeight="1">
      <c r="L148" s="206"/>
      <c r="M148" s="206"/>
      <c r="N148" s="206"/>
    </row>
    <row r="149" spans="12:14" ht="12" customHeight="1">
      <c r="L149" s="206"/>
      <c r="M149" s="206"/>
      <c r="N149" s="206"/>
    </row>
    <row r="150" spans="12:14" ht="12" customHeight="1">
      <c r="L150" s="206"/>
      <c r="M150" s="206"/>
      <c r="N150" s="206"/>
    </row>
    <row r="151" spans="12:14" ht="12" customHeight="1">
      <c r="L151" s="206"/>
      <c r="M151" s="206"/>
      <c r="N151" s="206"/>
    </row>
    <row r="152" spans="12:14" ht="12" customHeight="1">
      <c r="L152" s="206"/>
      <c r="M152" s="206"/>
      <c r="N152" s="206"/>
    </row>
    <row r="153" spans="12:14" ht="12" customHeight="1">
      <c r="L153" s="206"/>
      <c r="M153" s="206"/>
      <c r="N153" s="206"/>
    </row>
    <row r="154" spans="12:14" ht="12" customHeight="1">
      <c r="L154" s="206"/>
      <c r="M154" s="206"/>
      <c r="N154" s="206"/>
    </row>
    <row r="155" spans="12:14" ht="12" customHeight="1">
      <c r="L155" s="206"/>
      <c r="M155" s="206"/>
      <c r="N155" s="206"/>
    </row>
    <row r="156" spans="12:14" ht="12" customHeight="1">
      <c r="L156" s="206"/>
      <c r="M156" s="206"/>
      <c r="N156" s="206"/>
    </row>
    <row r="157" spans="12:14" ht="12" customHeight="1">
      <c r="L157" s="206"/>
      <c r="M157" s="206"/>
      <c r="N157" s="206"/>
    </row>
    <row r="158" spans="12:14" ht="12" customHeight="1">
      <c r="L158" s="206"/>
      <c r="M158" s="206"/>
      <c r="N158" s="206"/>
    </row>
    <row r="159" spans="12:14" ht="12" customHeight="1">
      <c r="L159" s="206"/>
      <c r="M159" s="206"/>
      <c r="N159" s="206"/>
    </row>
    <row r="160" spans="12:14" ht="12" customHeight="1">
      <c r="L160" s="206"/>
      <c r="M160" s="206"/>
      <c r="N160" s="206"/>
    </row>
    <row r="161" spans="12:14" ht="12" customHeight="1">
      <c r="L161" s="206"/>
      <c r="M161" s="206"/>
      <c r="N161" s="206"/>
    </row>
    <row r="162" spans="12:14" ht="12" customHeight="1">
      <c r="L162" s="206"/>
      <c r="M162" s="206"/>
      <c r="N162" s="206"/>
    </row>
    <row r="163" spans="12:14" ht="12" customHeight="1">
      <c r="L163" s="206"/>
      <c r="M163" s="206"/>
      <c r="N163" s="206"/>
    </row>
    <row r="164" spans="12:14" ht="12" customHeight="1">
      <c r="L164" s="206"/>
      <c r="M164" s="206"/>
      <c r="N164" s="206"/>
    </row>
    <row r="165" spans="12:14" ht="12" customHeight="1">
      <c r="L165" s="206"/>
      <c r="M165" s="206"/>
      <c r="N165" s="206"/>
    </row>
    <row r="166" spans="12:14" ht="12" customHeight="1">
      <c r="L166" s="206"/>
      <c r="M166" s="206"/>
      <c r="N166" s="206"/>
    </row>
    <row r="167" spans="12:14" ht="12" customHeight="1">
      <c r="L167" s="206"/>
      <c r="M167" s="206"/>
      <c r="N167" s="206"/>
    </row>
    <row r="168" spans="12:14" ht="12" customHeight="1">
      <c r="L168" s="206"/>
      <c r="M168" s="206"/>
      <c r="N168" s="206"/>
    </row>
    <row r="169" spans="12:14" ht="12" customHeight="1">
      <c r="L169" s="206"/>
      <c r="M169" s="206"/>
      <c r="N169" s="206"/>
    </row>
    <row r="170" spans="12:14" ht="12" customHeight="1">
      <c r="L170" s="206"/>
      <c r="M170" s="206"/>
      <c r="N170" s="206"/>
    </row>
    <row r="171" spans="12:14" ht="12" customHeight="1">
      <c r="L171" s="206"/>
      <c r="M171" s="206"/>
      <c r="N171" s="206"/>
    </row>
    <row r="172" spans="12:14" ht="12" customHeight="1">
      <c r="L172" s="206"/>
      <c r="M172" s="206"/>
      <c r="N172" s="206"/>
    </row>
    <row r="173" spans="12:14" ht="12" customHeight="1">
      <c r="L173" s="206"/>
      <c r="M173" s="206"/>
      <c r="N173" s="206"/>
    </row>
    <row r="174" spans="12:14" ht="12" customHeight="1">
      <c r="L174" s="206"/>
      <c r="M174" s="206"/>
      <c r="N174" s="206"/>
    </row>
    <row r="175" spans="12:14" ht="12" customHeight="1">
      <c r="L175" s="206"/>
      <c r="M175" s="206"/>
      <c r="N175" s="206"/>
    </row>
    <row r="176" spans="12:14" ht="12" customHeight="1">
      <c r="L176" s="206"/>
      <c r="M176" s="206"/>
      <c r="N176" s="206"/>
    </row>
    <row r="177" spans="12:14" ht="12" customHeight="1">
      <c r="L177" s="206"/>
      <c r="M177" s="206"/>
      <c r="N177" s="206"/>
    </row>
    <row r="178" spans="12:14" ht="12" customHeight="1">
      <c r="L178" s="206"/>
      <c r="M178" s="206"/>
      <c r="N178" s="206"/>
    </row>
    <row r="179" spans="12:14" ht="12" customHeight="1">
      <c r="L179" s="206"/>
      <c r="M179" s="206"/>
      <c r="N179" s="206"/>
    </row>
    <row r="180" spans="12:14" ht="12" customHeight="1">
      <c r="L180" s="206"/>
      <c r="M180" s="206"/>
      <c r="N180" s="206"/>
    </row>
    <row r="181" spans="12:14" ht="12" customHeight="1">
      <c r="L181" s="206"/>
      <c r="M181" s="206"/>
      <c r="N181" s="206"/>
    </row>
    <row r="182" spans="12:14" ht="12" customHeight="1">
      <c r="L182" s="206"/>
      <c r="M182" s="206"/>
      <c r="N182" s="206"/>
    </row>
    <row r="183" spans="12:14" ht="12" customHeight="1">
      <c r="L183" s="206"/>
      <c r="M183" s="206"/>
      <c r="N183" s="206"/>
    </row>
    <row r="184" spans="12:14" ht="12" customHeight="1">
      <c r="L184" s="206"/>
      <c r="M184" s="206"/>
      <c r="N184" s="206"/>
    </row>
    <row r="185" spans="12:14" ht="12" customHeight="1">
      <c r="L185" s="206"/>
      <c r="M185" s="206"/>
      <c r="N185" s="206"/>
    </row>
    <row r="186" spans="12:14" ht="12" customHeight="1">
      <c r="L186" s="206"/>
      <c r="M186" s="206"/>
      <c r="N186" s="206"/>
    </row>
    <row r="187" spans="12:14" ht="12" customHeight="1">
      <c r="L187" s="206"/>
      <c r="M187" s="206"/>
      <c r="N187" s="206"/>
    </row>
    <row r="188" spans="12:14" ht="12" customHeight="1">
      <c r="L188" s="206"/>
      <c r="M188" s="206"/>
      <c r="N188" s="206"/>
    </row>
    <row r="189" spans="12:14" ht="12" customHeight="1">
      <c r="L189" s="206"/>
      <c r="M189" s="206"/>
      <c r="N189" s="206"/>
    </row>
    <row r="190" spans="12:14" ht="12" customHeight="1">
      <c r="L190" s="206"/>
      <c r="M190" s="206"/>
      <c r="N190" s="206"/>
    </row>
    <row r="191" spans="12:14" ht="12" customHeight="1">
      <c r="L191" s="206"/>
      <c r="M191" s="206"/>
      <c r="N191" s="206"/>
    </row>
    <row r="192" spans="12:14" ht="12" customHeight="1">
      <c r="L192" s="206"/>
      <c r="M192" s="206"/>
      <c r="N192" s="206"/>
    </row>
    <row r="193" spans="12:14" ht="12" customHeight="1">
      <c r="L193" s="206"/>
      <c r="M193" s="206"/>
      <c r="N193" s="206"/>
    </row>
    <row r="194" spans="12:14" ht="12" customHeight="1">
      <c r="L194" s="206"/>
      <c r="M194" s="206"/>
      <c r="N194" s="206"/>
    </row>
    <row r="195" spans="12:14" ht="12" customHeight="1">
      <c r="L195" s="206"/>
      <c r="M195" s="206"/>
      <c r="N195" s="206"/>
    </row>
    <row r="196" spans="12:14" ht="12" customHeight="1">
      <c r="L196" s="206"/>
      <c r="M196" s="206"/>
      <c r="N196" s="206"/>
    </row>
    <row r="197" spans="12:14" ht="12" customHeight="1">
      <c r="L197" s="206"/>
      <c r="M197" s="206"/>
      <c r="N197" s="206"/>
    </row>
    <row r="198" spans="12:14" ht="12" customHeight="1">
      <c r="L198" s="206"/>
      <c r="M198" s="206"/>
      <c r="N198" s="206"/>
    </row>
    <row r="199" spans="12:14" ht="12" customHeight="1">
      <c r="L199" s="206"/>
      <c r="M199" s="206"/>
      <c r="N199" s="206"/>
    </row>
    <row r="200" spans="12:14" ht="12" customHeight="1">
      <c r="L200" s="206"/>
      <c r="M200" s="206"/>
      <c r="N200" s="206"/>
    </row>
    <row r="201" spans="12:14" ht="12" customHeight="1">
      <c r="L201" s="206"/>
      <c r="M201" s="206"/>
      <c r="N201" s="206"/>
    </row>
    <row r="202" spans="12:14" ht="12" customHeight="1">
      <c r="L202" s="206"/>
      <c r="M202" s="206"/>
      <c r="N202" s="206"/>
    </row>
    <row r="203" spans="12:14" ht="12" customHeight="1">
      <c r="L203" s="206"/>
      <c r="M203" s="206"/>
      <c r="N203" s="206"/>
    </row>
    <row r="204" spans="12:14" ht="12" customHeight="1">
      <c r="L204" s="206"/>
      <c r="M204" s="206"/>
      <c r="N204" s="206"/>
    </row>
    <row r="205" spans="12:14" ht="12" customHeight="1">
      <c r="L205" s="206"/>
      <c r="M205" s="206"/>
      <c r="N205" s="206"/>
    </row>
    <row r="206" spans="12:14" ht="12" customHeight="1">
      <c r="L206" s="206"/>
      <c r="M206" s="206"/>
      <c r="N206" s="206"/>
    </row>
    <row r="207" spans="12:14" ht="12" customHeight="1">
      <c r="L207" s="206"/>
      <c r="M207" s="206"/>
      <c r="N207" s="206"/>
    </row>
    <row r="208" spans="12:14" ht="12" customHeight="1">
      <c r="L208" s="206"/>
      <c r="M208" s="206"/>
      <c r="N208" s="206"/>
    </row>
    <row r="209" spans="12:14" ht="12" customHeight="1">
      <c r="L209" s="206"/>
      <c r="M209" s="206"/>
      <c r="N209" s="206"/>
    </row>
    <row r="210" spans="12:14" ht="12" customHeight="1">
      <c r="L210" s="206"/>
      <c r="M210" s="206"/>
      <c r="N210" s="206"/>
    </row>
    <row r="211" spans="12:14" ht="12" customHeight="1">
      <c r="L211" s="206"/>
      <c r="M211" s="206"/>
      <c r="N211" s="206"/>
    </row>
    <row r="212" spans="12:14" ht="12" customHeight="1">
      <c r="L212" s="206"/>
      <c r="M212" s="206"/>
      <c r="N212" s="206"/>
    </row>
    <row r="213" spans="12:14" ht="12" customHeight="1">
      <c r="L213" s="206"/>
      <c r="M213" s="206"/>
      <c r="N213" s="206"/>
    </row>
    <row r="214" spans="12:14" ht="12" customHeight="1">
      <c r="L214" s="206"/>
      <c r="M214" s="206"/>
      <c r="N214" s="206"/>
    </row>
    <row r="215" spans="12:14" ht="12" customHeight="1">
      <c r="L215" s="206"/>
      <c r="M215" s="206"/>
      <c r="N215" s="206"/>
    </row>
    <row r="216" spans="12:14" ht="12" customHeight="1">
      <c r="L216" s="206"/>
      <c r="M216" s="206"/>
      <c r="N216" s="206"/>
    </row>
    <row r="217" spans="12:14" ht="12" customHeight="1">
      <c r="L217" s="206"/>
      <c r="M217" s="206"/>
      <c r="N217" s="206"/>
    </row>
    <row r="218" spans="12:14" ht="12" customHeight="1">
      <c r="L218" s="206"/>
      <c r="M218" s="206"/>
      <c r="N218" s="206"/>
    </row>
    <row r="219" spans="12:14" ht="12" customHeight="1">
      <c r="L219" s="206"/>
      <c r="M219" s="206"/>
      <c r="N219" s="206"/>
    </row>
    <row r="220" spans="12:14" ht="12" customHeight="1">
      <c r="L220" s="206"/>
      <c r="M220" s="206"/>
      <c r="N220" s="206"/>
    </row>
    <row r="221" spans="12:14" ht="12" customHeight="1">
      <c r="L221" s="206"/>
      <c r="M221" s="206"/>
      <c r="N221" s="206"/>
    </row>
    <row r="222" spans="12:14" ht="12" customHeight="1">
      <c r="L222" s="206"/>
      <c r="M222" s="206"/>
      <c r="N222" s="206"/>
    </row>
    <row r="223" spans="12:14" ht="12" customHeight="1">
      <c r="L223" s="206"/>
      <c r="M223" s="206"/>
      <c r="N223" s="206"/>
    </row>
    <row r="224" spans="12:14" ht="12" customHeight="1">
      <c r="L224" s="206"/>
      <c r="M224" s="206"/>
      <c r="N224" s="206"/>
    </row>
    <row r="225" spans="12:14" ht="12" customHeight="1">
      <c r="L225" s="206"/>
      <c r="M225" s="206"/>
      <c r="N225" s="206"/>
    </row>
    <row r="226" spans="12:14" ht="12" customHeight="1">
      <c r="L226" s="206"/>
      <c r="M226" s="206"/>
      <c r="N226" s="206"/>
    </row>
    <row r="227" spans="12:14" ht="12" customHeight="1">
      <c r="L227" s="206"/>
      <c r="M227" s="206"/>
      <c r="N227" s="206"/>
    </row>
    <row r="228" spans="12:14" ht="12" customHeight="1">
      <c r="L228" s="206"/>
      <c r="M228" s="206"/>
      <c r="N228" s="206"/>
    </row>
    <row r="229" spans="12:14" ht="12" customHeight="1">
      <c r="L229" s="206"/>
      <c r="M229" s="206"/>
      <c r="N229" s="206"/>
    </row>
    <row r="230" spans="12:14" ht="12" customHeight="1">
      <c r="L230" s="206"/>
      <c r="M230" s="206"/>
      <c r="N230" s="206"/>
    </row>
    <row r="231" spans="12:14" ht="12" customHeight="1">
      <c r="L231" s="206"/>
      <c r="M231" s="206"/>
      <c r="N231" s="206"/>
    </row>
    <row r="232" spans="12:14" ht="12" customHeight="1">
      <c r="L232" s="206"/>
      <c r="M232" s="206"/>
      <c r="N232" s="206"/>
    </row>
    <row r="233" spans="12:14" ht="12" customHeight="1">
      <c r="L233" s="206"/>
      <c r="M233" s="206"/>
      <c r="N233" s="206"/>
    </row>
    <row r="234" spans="12:14" ht="12" customHeight="1">
      <c r="L234" s="206"/>
      <c r="M234" s="206"/>
      <c r="N234" s="206"/>
    </row>
    <row r="235" spans="12:14" ht="12" customHeight="1">
      <c r="L235" s="206"/>
      <c r="M235" s="206"/>
      <c r="N235" s="206"/>
    </row>
    <row r="236" spans="12:14" ht="12" customHeight="1">
      <c r="L236" s="206"/>
      <c r="M236" s="206"/>
      <c r="N236" s="206"/>
    </row>
    <row r="237" spans="12:14" ht="12" customHeight="1">
      <c r="L237" s="206"/>
      <c r="M237" s="206"/>
      <c r="N237" s="206"/>
    </row>
    <row r="238" spans="12:14" ht="12" customHeight="1">
      <c r="L238" s="206"/>
      <c r="M238" s="206"/>
      <c r="N238" s="206"/>
    </row>
    <row r="239" spans="12:14" ht="12" customHeight="1">
      <c r="L239" s="206"/>
      <c r="M239" s="206"/>
      <c r="N239" s="206"/>
    </row>
    <row r="240" spans="12:14" ht="12" customHeight="1">
      <c r="L240" s="206"/>
      <c r="M240" s="206"/>
      <c r="N240" s="206"/>
    </row>
    <row r="241" spans="12:14" ht="12" customHeight="1">
      <c r="L241" s="206"/>
      <c r="M241" s="206"/>
      <c r="N241" s="206"/>
    </row>
    <row r="242" spans="12:14" ht="12" customHeight="1">
      <c r="L242" s="206"/>
      <c r="M242" s="206"/>
      <c r="N242" s="206"/>
    </row>
    <row r="243" spans="12:14" ht="12" customHeight="1">
      <c r="L243" s="206"/>
      <c r="M243" s="206"/>
      <c r="N243" s="206"/>
    </row>
    <row r="244" spans="12:14" ht="12" customHeight="1">
      <c r="L244" s="206"/>
      <c r="M244" s="206"/>
      <c r="N244" s="206"/>
    </row>
    <row r="245" spans="12:14" ht="12" customHeight="1">
      <c r="L245" s="206"/>
      <c r="M245" s="206"/>
      <c r="N245" s="206"/>
    </row>
    <row r="246" spans="12:14" ht="12" customHeight="1">
      <c r="L246" s="206"/>
      <c r="M246" s="206"/>
      <c r="N246" s="206"/>
    </row>
    <row r="247" spans="12:14" ht="12" customHeight="1">
      <c r="L247" s="206"/>
      <c r="M247" s="206"/>
      <c r="N247" s="206"/>
    </row>
    <row r="248" spans="12:14" ht="12" customHeight="1">
      <c r="L248" s="206"/>
      <c r="M248" s="206"/>
      <c r="N248" s="206"/>
    </row>
    <row r="249" spans="12:14" ht="12" customHeight="1">
      <c r="L249" s="206"/>
      <c r="M249" s="206"/>
      <c r="N249" s="206"/>
    </row>
    <row r="250" spans="12:14" ht="12" customHeight="1">
      <c r="L250" s="206"/>
      <c r="M250" s="206"/>
      <c r="N250" s="206"/>
    </row>
    <row r="251" spans="12:14" ht="12" customHeight="1">
      <c r="L251" s="206"/>
      <c r="M251" s="206"/>
      <c r="N251" s="206"/>
    </row>
    <row r="252" spans="12:14" ht="12" customHeight="1">
      <c r="L252" s="206"/>
      <c r="M252" s="206"/>
      <c r="N252" s="206"/>
    </row>
    <row r="253" spans="12:14" ht="12" customHeight="1">
      <c r="L253" s="206"/>
      <c r="M253" s="206"/>
      <c r="N253" s="206"/>
    </row>
    <row r="254" spans="12:14" ht="12" customHeight="1">
      <c r="L254" s="206"/>
      <c r="M254" s="206"/>
      <c r="N254" s="206"/>
    </row>
    <row r="255" spans="12:14" ht="12" customHeight="1">
      <c r="L255" s="206"/>
      <c r="M255" s="206"/>
      <c r="N255" s="206"/>
    </row>
    <row r="256" spans="12:14" ht="12" customHeight="1">
      <c r="L256" s="206"/>
      <c r="M256" s="206"/>
      <c r="N256" s="206"/>
    </row>
    <row r="257" spans="12:14" ht="12" customHeight="1">
      <c r="L257" s="206"/>
      <c r="M257" s="206"/>
      <c r="N257" s="206"/>
    </row>
    <row r="258" spans="12:14" ht="12" customHeight="1">
      <c r="L258" s="206"/>
      <c r="M258" s="206"/>
      <c r="N258" s="206"/>
    </row>
    <row r="259" spans="12:14" ht="12" customHeight="1">
      <c r="L259" s="206"/>
      <c r="M259" s="206"/>
      <c r="N259" s="206"/>
    </row>
    <row r="260" spans="12:14" ht="12" customHeight="1">
      <c r="L260" s="206"/>
      <c r="M260" s="206"/>
      <c r="N260" s="206"/>
    </row>
    <row r="261" spans="12:14" ht="12" customHeight="1">
      <c r="L261" s="206"/>
      <c r="M261" s="206"/>
      <c r="N261" s="206"/>
    </row>
    <row r="262" spans="12:14" ht="12" customHeight="1">
      <c r="L262" s="206"/>
      <c r="M262" s="206"/>
      <c r="N262" s="206"/>
    </row>
    <row r="263" spans="12:14" ht="12" customHeight="1">
      <c r="L263" s="206"/>
      <c r="M263" s="206"/>
      <c r="N263" s="206"/>
    </row>
    <row r="264" spans="12:14" ht="12" customHeight="1">
      <c r="L264" s="206"/>
      <c r="M264" s="206"/>
      <c r="N264" s="206"/>
    </row>
    <row r="265" spans="12:14" ht="12" customHeight="1">
      <c r="L265" s="206"/>
      <c r="M265" s="206"/>
      <c r="N265" s="206"/>
    </row>
    <row r="266" spans="12:14" ht="12" customHeight="1">
      <c r="L266" s="206"/>
      <c r="M266" s="206"/>
      <c r="N266" s="206"/>
    </row>
    <row r="267" spans="12:14" ht="12" customHeight="1">
      <c r="L267" s="206"/>
      <c r="M267" s="206"/>
      <c r="N267" s="206"/>
    </row>
    <row r="268" spans="12:14" ht="12" customHeight="1">
      <c r="L268" s="206"/>
      <c r="M268" s="206"/>
      <c r="N268" s="206"/>
    </row>
    <row r="269" spans="12:14" ht="12" customHeight="1">
      <c r="L269" s="206"/>
      <c r="M269" s="206"/>
      <c r="N269" s="206"/>
    </row>
    <row r="270" spans="12:14" ht="12" customHeight="1">
      <c r="L270" s="206"/>
      <c r="M270" s="206"/>
      <c r="N270" s="206"/>
    </row>
    <row r="271" spans="12:14" ht="12" customHeight="1">
      <c r="L271" s="206"/>
      <c r="M271" s="206"/>
      <c r="N271" s="206"/>
    </row>
    <row r="272" spans="12:14" ht="12" customHeight="1">
      <c r="L272" s="206"/>
      <c r="M272" s="206"/>
      <c r="N272" s="206"/>
    </row>
    <row r="273" spans="12:14" ht="12" customHeight="1">
      <c r="L273" s="206"/>
      <c r="M273" s="206"/>
      <c r="N273" s="206"/>
    </row>
    <row r="274" spans="12:14" ht="12" customHeight="1">
      <c r="L274" s="206"/>
      <c r="M274" s="206"/>
      <c r="N274" s="206"/>
    </row>
    <row r="275" spans="12:14" ht="12" customHeight="1">
      <c r="L275" s="206"/>
      <c r="M275" s="206"/>
      <c r="N275" s="206"/>
    </row>
    <row r="276" spans="12:14" ht="12" customHeight="1">
      <c r="L276" s="206"/>
      <c r="M276" s="206"/>
      <c r="N276" s="206"/>
    </row>
    <row r="277" spans="12:14" ht="12" customHeight="1">
      <c r="L277" s="206"/>
      <c r="M277" s="206"/>
      <c r="N277" s="206"/>
    </row>
    <row r="278" spans="12:14" ht="12" customHeight="1">
      <c r="L278" s="206"/>
      <c r="M278" s="206"/>
      <c r="N278" s="206"/>
    </row>
    <row r="279" spans="12:14" ht="12" customHeight="1">
      <c r="L279" s="206"/>
      <c r="M279" s="206"/>
      <c r="N279" s="206"/>
    </row>
    <row r="280" spans="12:14" ht="12" customHeight="1">
      <c r="L280" s="206"/>
      <c r="M280" s="206"/>
      <c r="N280" s="206"/>
    </row>
    <row r="281" spans="12:14" ht="12" customHeight="1">
      <c r="L281" s="206"/>
      <c r="M281" s="206"/>
      <c r="N281" s="206"/>
    </row>
    <row r="282" spans="12:14" ht="12" customHeight="1">
      <c r="L282" s="206"/>
      <c r="M282" s="206"/>
      <c r="N282" s="206"/>
    </row>
    <row r="283" spans="12:14" ht="12" customHeight="1">
      <c r="L283" s="206"/>
      <c r="M283" s="206"/>
      <c r="N283" s="206"/>
    </row>
    <row r="284" spans="12:14" ht="12" customHeight="1">
      <c r="L284" s="206"/>
      <c r="M284" s="206"/>
      <c r="N284" s="206"/>
    </row>
    <row r="285" spans="12:14" ht="12" customHeight="1">
      <c r="L285" s="206"/>
      <c r="M285" s="206"/>
      <c r="N285" s="206"/>
    </row>
    <row r="286" spans="12:14" ht="12" customHeight="1">
      <c r="L286" s="206"/>
      <c r="M286" s="206"/>
      <c r="N286" s="206"/>
    </row>
    <row r="287" spans="12:14" ht="12" customHeight="1">
      <c r="L287" s="206"/>
      <c r="M287" s="206"/>
      <c r="N287" s="206"/>
    </row>
    <row r="288" spans="12:14" ht="12" customHeight="1">
      <c r="L288" s="206"/>
      <c r="M288" s="206"/>
      <c r="N288" s="206"/>
    </row>
    <row r="289" spans="12:14" ht="12" customHeight="1">
      <c r="L289" s="206"/>
      <c r="M289" s="206"/>
      <c r="N289" s="206"/>
    </row>
    <row r="290" spans="12:14" ht="12" customHeight="1">
      <c r="L290" s="206"/>
      <c r="M290" s="206"/>
      <c r="N290" s="206"/>
    </row>
    <row r="291" spans="12:14" ht="12" customHeight="1">
      <c r="L291" s="206"/>
      <c r="M291" s="206"/>
      <c r="N291" s="206"/>
    </row>
    <row r="292" spans="12:14" ht="12" customHeight="1">
      <c r="L292" s="206"/>
      <c r="M292" s="206"/>
      <c r="N292" s="206"/>
    </row>
    <row r="293" spans="12:14" ht="12" customHeight="1">
      <c r="L293" s="206"/>
      <c r="M293" s="206"/>
      <c r="N293" s="206"/>
    </row>
    <row r="294" spans="12:14" ht="12" customHeight="1">
      <c r="L294" s="206"/>
      <c r="M294" s="206"/>
      <c r="N294" s="206"/>
    </row>
    <row r="295" spans="12:14" ht="12" customHeight="1">
      <c r="L295" s="206"/>
      <c r="M295" s="206"/>
      <c r="N295" s="206"/>
    </row>
    <row r="296" spans="12:14" ht="12" customHeight="1">
      <c r="L296" s="206"/>
      <c r="M296" s="206"/>
      <c r="N296" s="206"/>
    </row>
    <row r="297" spans="12:14" ht="12" customHeight="1">
      <c r="L297" s="206"/>
      <c r="M297" s="206"/>
      <c r="N297" s="206"/>
    </row>
    <row r="298" spans="12:14" ht="12" customHeight="1">
      <c r="L298" s="206"/>
      <c r="M298" s="206"/>
      <c r="N298" s="206"/>
    </row>
    <row r="299" spans="12:14" ht="12" customHeight="1">
      <c r="L299" s="206"/>
      <c r="M299" s="206"/>
      <c r="N299" s="206"/>
    </row>
    <row r="300" spans="12:14" ht="12" customHeight="1">
      <c r="L300" s="206"/>
      <c r="M300" s="206"/>
      <c r="N300" s="206"/>
    </row>
    <row r="301" spans="12:14" ht="12" customHeight="1">
      <c r="L301" s="206"/>
      <c r="M301" s="206"/>
      <c r="N301" s="206"/>
    </row>
    <row r="302" spans="12:14" ht="12" customHeight="1">
      <c r="L302" s="206"/>
      <c r="M302" s="206"/>
      <c r="N302" s="206"/>
    </row>
    <row r="303" spans="12:14" ht="12" customHeight="1">
      <c r="L303" s="206"/>
      <c r="M303" s="206"/>
      <c r="N303" s="206"/>
    </row>
    <row r="304" spans="12:14" ht="12" customHeight="1">
      <c r="L304" s="206"/>
      <c r="M304" s="206"/>
      <c r="N304" s="206"/>
    </row>
    <row r="305" spans="12:14" ht="12" customHeight="1">
      <c r="L305" s="206"/>
      <c r="M305" s="206"/>
      <c r="N305" s="206"/>
    </row>
    <row r="306" spans="12:14" ht="12" customHeight="1">
      <c r="L306" s="206"/>
      <c r="M306" s="206"/>
      <c r="N306" s="206"/>
    </row>
    <row r="307" spans="12:14" ht="12" customHeight="1">
      <c r="L307" s="206"/>
      <c r="M307" s="206"/>
      <c r="N307" s="206"/>
    </row>
    <row r="308" spans="12:14" ht="12" customHeight="1">
      <c r="L308" s="206"/>
      <c r="M308" s="206"/>
      <c r="N308" s="206"/>
    </row>
    <row r="309" spans="12:14" ht="12" customHeight="1">
      <c r="L309" s="206"/>
      <c r="M309" s="206"/>
      <c r="N309" s="206"/>
    </row>
    <row r="310" spans="12:14" ht="12" customHeight="1">
      <c r="L310" s="206"/>
      <c r="M310" s="206"/>
      <c r="N310" s="206"/>
    </row>
    <row r="311" spans="12:14" ht="12" customHeight="1">
      <c r="L311" s="206"/>
      <c r="M311" s="206"/>
      <c r="N311" s="206"/>
    </row>
    <row r="312" spans="12:14" ht="12" customHeight="1">
      <c r="L312" s="206"/>
      <c r="M312" s="206"/>
      <c r="N312" s="206"/>
    </row>
    <row r="313" spans="12:14" ht="12" customHeight="1">
      <c r="L313" s="206"/>
      <c r="M313" s="206"/>
      <c r="N313" s="206"/>
    </row>
    <row r="314" spans="12:14" ht="12" customHeight="1">
      <c r="L314" s="206"/>
      <c r="M314" s="206"/>
      <c r="N314" s="206"/>
    </row>
    <row r="315" spans="12:14" ht="12" customHeight="1">
      <c r="L315" s="206"/>
      <c r="M315" s="206"/>
      <c r="N315" s="206"/>
    </row>
    <row r="316" spans="12:14" ht="12" customHeight="1">
      <c r="L316" s="206"/>
      <c r="M316" s="206"/>
      <c r="N316" s="206"/>
    </row>
    <row r="317" spans="12:14" ht="12" customHeight="1">
      <c r="L317" s="206"/>
      <c r="M317" s="206"/>
      <c r="N317" s="206"/>
    </row>
    <row r="318" spans="12:14" ht="12" customHeight="1">
      <c r="L318" s="206"/>
      <c r="M318" s="206"/>
      <c r="N318" s="206"/>
    </row>
    <row r="319" spans="12:14" ht="12" customHeight="1">
      <c r="L319" s="206"/>
      <c r="M319" s="206"/>
      <c r="N319" s="206"/>
    </row>
    <row r="320" spans="12:14" ht="12" customHeight="1">
      <c r="L320" s="206"/>
      <c r="M320" s="206"/>
      <c r="N320" s="206"/>
    </row>
    <row r="321" spans="12:14" ht="12" customHeight="1">
      <c r="L321" s="206"/>
      <c r="M321" s="206"/>
      <c r="N321" s="206"/>
    </row>
    <row r="322" spans="12:14" ht="12" customHeight="1">
      <c r="L322" s="206"/>
      <c r="M322" s="206"/>
      <c r="N322" s="206"/>
    </row>
    <row r="323" spans="12:14" ht="12" customHeight="1">
      <c r="L323" s="206"/>
      <c r="M323" s="206"/>
      <c r="N323" s="206"/>
    </row>
    <row r="324" spans="12:14" ht="12" customHeight="1">
      <c r="L324" s="206"/>
      <c r="M324" s="206"/>
      <c r="N324" s="206"/>
    </row>
    <row r="325" spans="12:14" ht="12" customHeight="1">
      <c r="L325" s="206"/>
      <c r="M325" s="206"/>
      <c r="N325" s="206"/>
    </row>
    <row r="326" spans="12:14" ht="12" customHeight="1">
      <c r="L326" s="206"/>
      <c r="M326" s="206"/>
      <c r="N326" s="206"/>
    </row>
    <row r="327" spans="12:14" ht="12" customHeight="1">
      <c r="L327" s="206"/>
      <c r="M327" s="206"/>
      <c r="N327" s="206"/>
    </row>
    <row r="328" spans="12:14" ht="12" customHeight="1">
      <c r="L328" s="206"/>
      <c r="M328" s="206"/>
      <c r="N328" s="206"/>
    </row>
    <row r="329" spans="12:14" ht="12" customHeight="1">
      <c r="L329" s="206"/>
      <c r="M329" s="206"/>
      <c r="N329" s="206"/>
    </row>
    <row r="330" spans="12:14" ht="12" customHeight="1">
      <c r="L330" s="206"/>
      <c r="M330" s="206"/>
      <c r="N330" s="206"/>
    </row>
    <row r="331" spans="12:14" ht="12" customHeight="1">
      <c r="L331" s="206"/>
      <c r="M331" s="206"/>
      <c r="N331" s="206"/>
    </row>
    <row r="332" spans="12:14" ht="12" customHeight="1">
      <c r="L332" s="206"/>
      <c r="M332" s="206"/>
      <c r="N332" s="206"/>
    </row>
    <row r="333" spans="12:14" ht="12" customHeight="1">
      <c r="L333" s="206"/>
      <c r="M333" s="206"/>
      <c r="N333" s="206"/>
    </row>
    <row r="334" spans="12:14" ht="12" customHeight="1">
      <c r="L334" s="206"/>
      <c r="M334" s="206"/>
      <c r="N334" s="206"/>
    </row>
    <row r="335" spans="12:14" ht="12" customHeight="1">
      <c r="L335" s="206"/>
      <c r="M335" s="206"/>
      <c r="N335" s="206"/>
    </row>
    <row r="336" spans="12:14" ht="12" customHeight="1">
      <c r="L336" s="206"/>
      <c r="M336" s="206"/>
      <c r="N336" s="206"/>
    </row>
    <row r="337" spans="12:14" ht="12" customHeight="1">
      <c r="L337" s="206"/>
      <c r="M337" s="206"/>
      <c r="N337" s="206"/>
    </row>
    <row r="338" spans="12:14" ht="12" customHeight="1">
      <c r="L338" s="206"/>
      <c r="M338" s="206"/>
      <c r="N338" s="206"/>
    </row>
    <row r="339" spans="12:14" ht="12" customHeight="1">
      <c r="L339" s="206"/>
      <c r="M339" s="206"/>
      <c r="N339" s="206"/>
    </row>
    <row r="340" spans="12:14" ht="12" customHeight="1">
      <c r="L340" s="206"/>
      <c r="M340" s="206"/>
      <c r="N340" s="206"/>
    </row>
    <row r="341" spans="12:14" ht="12" customHeight="1">
      <c r="L341" s="206"/>
      <c r="M341" s="206"/>
      <c r="N341" s="206"/>
    </row>
    <row r="342" spans="12:14" ht="12" customHeight="1">
      <c r="L342" s="206"/>
      <c r="M342" s="206"/>
      <c r="N342" s="206"/>
    </row>
    <row r="343" spans="12:14" ht="12" customHeight="1">
      <c r="L343" s="206"/>
      <c r="M343" s="206"/>
      <c r="N343" s="206"/>
    </row>
    <row r="344" spans="12:14" ht="12" customHeight="1">
      <c r="L344" s="206"/>
      <c r="M344" s="206"/>
      <c r="N344" s="206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&amp;CInternational + Special Divisions</oddHeader>
  </headerFooter>
  <rowBreaks count="2" manualBreakCount="2">
    <brk id="42" max="16383" man="1"/>
    <brk id="72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2"/>
  <sheetViews>
    <sheetView view="pageBreakPreview" zoomScaleNormal="100" zoomScaleSheetLayoutView="100" workbookViewId="0">
      <pane xSplit="1" ySplit="1" topLeftCell="C2" activePane="bottomRight" state="frozen"/>
      <selection activeCell="C35" sqref="C35"/>
      <selection pane="topRight" activeCell="C35" sqref="C35"/>
      <selection pane="bottomLeft" activeCell="C35" sqref="C35"/>
      <selection pane="bottomRight" activeCell="D11" sqref="D11"/>
    </sheetView>
  </sheetViews>
  <sheetFormatPr baseColWidth="10" defaultColWidth="20.6640625" defaultRowHeight="12" customHeight="1" outlineLevelRow="1"/>
  <cols>
    <col min="1" max="1" width="20.6640625" style="159" customWidth="1"/>
    <col min="2" max="14" width="10.88671875" style="206" customWidth="1"/>
    <col min="15" max="16384" width="20.6640625" style="159"/>
  </cols>
  <sheetData>
    <row r="1" spans="1:29" s="158" customFormat="1" ht="24" customHeight="1">
      <c r="A1" s="207" t="s">
        <v>143</v>
      </c>
      <c r="B1" s="2" t="s">
        <v>152</v>
      </c>
      <c r="C1" s="2" t="s">
        <v>153</v>
      </c>
      <c r="D1" s="2" t="s">
        <v>156</v>
      </c>
      <c r="E1" s="2" t="s">
        <v>149</v>
      </c>
      <c r="F1" s="2" t="s">
        <v>150</v>
      </c>
      <c r="G1" s="2" t="s">
        <v>151</v>
      </c>
      <c r="H1" s="2">
        <v>2014</v>
      </c>
      <c r="I1" s="2" t="s">
        <v>1</v>
      </c>
      <c r="J1" s="2">
        <v>2013</v>
      </c>
      <c r="K1" s="2" t="s">
        <v>2</v>
      </c>
      <c r="L1" s="2">
        <v>2012</v>
      </c>
      <c r="M1" s="2" t="s">
        <v>3</v>
      </c>
      <c r="N1" s="2">
        <v>2011</v>
      </c>
    </row>
    <row r="2" spans="1:29" ht="9.75" hidden="1" customHeight="1" outlineLevel="1">
      <c r="A2" s="247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29" s="165" customFormat="1" ht="10.199999999999999" customHeight="1" collapsed="1">
      <c r="A3" s="249" t="s">
        <v>4</v>
      </c>
      <c r="B3" s="250">
        <v>32.06</v>
      </c>
      <c r="C3" s="251">
        <f>IF((+B3/D3)&lt;0,"n.m.",IF(B3&lt;0,(+B3/D3-1)*-1,(+B3/D3-1)))</f>
        <v>7.7647058823529402E-2</v>
      </c>
      <c r="D3" s="250">
        <v>29.75</v>
      </c>
      <c r="E3" s="250">
        <f>E71</f>
        <v>67.660000000000011</v>
      </c>
      <c r="F3" s="251">
        <f>IF((+E3/G3)&lt;0,"n.m.",IF(E3&lt;0,(+E3/G3-1)*-1,(+E3/G3-1)))</f>
        <v>0.22439377488237455</v>
      </c>
      <c r="G3" s="250">
        <f>G71</f>
        <v>55.26</v>
      </c>
      <c r="H3" s="250">
        <f>H71</f>
        <v>132.61000000000001</v>
      </c>
      <c r="I3" s="301">
        <f t="shared" ref="I3:I9" si="0">IF((+H3/J3)&lt;0,"n.m.",IF(H3&lt;0,(+H3/J3-1)*-1,(+H3/J3-1)))</f>
        <v>-2.6286805198619478E-2</v>
      </c>
      <c r="J3" s="250">
        <f>J71</f>
        <v>136.19</v>
      </c>
      <c r="K3" s="252">
        <v>9.1003765120563962E-2</v>
      </c>
      <c r="L3" s="250">
        <v>124.83</v>
      </c>
      <c r="M3" s="252">
        <v>-0.25345374080497574</v>
      </c>
      <c r="N3" s="250">
        <v>167.20999999999998</v>
      </c>
      <c r="O3" s="253"/>
    </row>
    <row r="4" spans="1:29" s="165" customFormat="1" ht="10.199999999999999" customHeight="1">
      <c r="A4" s="249" t="s">
        <v>5</v>
      </c>
      <c r="B4" s="250"/>
      <c r="C4" s="251"/>
      <c r="D4" s="250"/>
      <c r="E4" s="250">
        <f>E101</f>
        <v>11.24</v>
      </c>
      <c r="F4" s="251">
        <f>IF((+E4/G4)&lt;0,"n.m.",IF(E4&lt;0,(+E4/G4-1)*-1,(+E4/G4-1)))</f>
        <v>0.1528205128205129</v>
      </c>
      <c r="G4" s="250">
        <f>G101</f>
        <v>9.75</v>
      </c>
      <c r="H4" s="250">
        <f>H101</f>
        <v>7.54</v>
      </c>
      <c r="I4" s="301">
        <f t="shared" si="0"/>
        <v>-0.29268292682926833</v>
      </c>
      <c r="J4" s="250">
        <f>J101</f>
        <v>10.66</v>
      </c>
      <c r="K4" s="252">
        <v>-8.8109495295124129E-2</v>
      </c>
      <c r="L4" s="250">
        <v>11.86</v>
      </c>
      <c r="M4" s="252">
        <v>-0.10967250571210951</v>
      </c>
      <c r="N4" s="250">
        <v>13.129999999999999</v>
      </c>
      <c r="O4" s="314"/>
    </row>
    <row r="5" spans="1:29" s="165" customFormat="1" ht="10.199999999999999" customHeight="1">
      <c r="A5" s="249" t="s">
        <v>6</v>
      </c>
      <c r="B5" s="250">
        <v>7.66</v>
      </c>
      <c r="C5" s="251">
        <f>IF((+B5/D5)&lt;0,"n.m.",IF(B5&lt;0,(+B5/D5-1)*-1,(+B5/D5-1)))</f>
        <v>0.11014492753623184</v>
      </c>
      <c r="D5" s="250">
        <v>6.9</v>
      </c>
      <c r="E5" s="250">
        <v>12.58</v>
      </c>
      <c r="F5" s="251">
        <f>IF((+E5/G5)&lt;0,"n.m.",IF(E5&lt;0,(+E5/G5-1)*-1,(+E5/G5-1)))</f>
        <v>0.10061242344706911</v>
      </c>
      <c r="G5" s="250">
        <v>11.43</v>
      </c>
      <c r="H5" s="250">
        <v>21.152999999999999</v>
      </c>
      <c r="I5" s="301">
        <f t="shared" si="0"/>
        <v>-0.20207468879668056</v>
      </c>
      <c r="J5" s="250">
        <v>26.51</v>
      </c>
      <c r="K5" s="252">
        <v>0.32679509632224168</v>
      </c>
      <c r="L5" s="250">
        <v>19.98</v>
      </c>
      <c r="M5" s="252">
        <v>-0.41441045475855609</v>
      </c>
      <c r="N5" s="250">
        <v>34.128</v>
      </c>
      <c r="O5" s="253"/>
    </row>
    <row r="6" spans="1:29" s="165" customFormat="1" ht="10.199999999999999" customHeight="1">
      <c r="A6" s="249" t="s">
        <v>144</v>
      </c>
      <c r="B6" s="250">
        <v>0.28999999999999998</v>
      </c>
      <c r="C6" s="251">
        <f>IF((+B6/D6)&lt;0,"n.m.",IF(B6&lt;0,(+B6/D6-1)*-1,(+B6/D6-1)))</f>
        <v>-0.57971014492753625</v>
      </c>
      <c r="D6" s="250">
        <v>0.69</v>
      </c>
      <c r="E6" s="250">
        <v>0.02</v>
      </c>
      <c r="F6" s="251">
        <f>IF((+E6/G6)&lt;0,"n.m.",IF(E6&lt;0,(+E6/G6-1)*-1,(+E6/G6-1)))</f>
        <v>-0.97368421052631582</v>
      </c>
      <c r="G6" s="250">
        <v>0.76</v>
      </c>
      <c r="H6" s="250">
        <v>0.35</v>
      </c>
      <c r="I6" s="301">
        <f t="shared" si="0"/>
        <v>4.833333333333333</v>
      </c>
      <c r="J6" s="250">
        <v>0.06</v>
      </c>
      <c r="K6" s="252" t="s">
        <v>14</v>
      </c>
      <c r="L6" s="250">
        <v>-1.97</v>
      </c>
      <c r="M6" s="252" t="s">
        <v>14</v>
      </c>
      <c r="N6" s="250">
        <v>0.68</v>
      </c>
      <c r="O6" s="254"/>
    </row>
    <row r="7" spans="1:29" s="165" customFormat="1" ht="10.199999999999999" customHeight="1">
      <c r="A7" s="249" t="s">
        <v>146</v>
      </c>
      <c r="B7" s="250">
        <v>-6.72</v>
      </c>
      <c r="C7" s="251">
        <f>IF((+B7/D7)&lt;0,"n.m.",IF(B7&lt;0,(+B7/D7-1)*-1,(+B7/D7-1)))</f>
        <v>0.18742442563482464</v>
      </c>
      <c r="D7" s="250">
        <v>-8.27</v>
      </c>
      <c r="E7" s="250">
        <v>0.71</v>
      </c>
      <c r="F7" s="251" t="str">
        <f>IF((+E7/G7)&lt;0,"n.m.",IF(E7&lt;0,(+E7/G7-1)*-1,(+E7/G7-1)))</f>
        <v>n.m.</v>
      </c>
      <c r="G7" s="250">
        <v>-12.24</v>
      </c>
      <c r="H7" s="250">
        <v>-25.85</v>
      </c>
      <c r="I7" s="301">
        <f t="shared" si="0"/>
        <v>0.17884371029224899</v>
      </c>
      <c r="J7" s="250">
        <v>-31.48</v>
      </c>
      <c r="K7" s="252">
        <v>-0.40266788106487539</v>
      </c>
      <c r="L7" s="250">
        <v>-52.701000000000001</v>
      </c>
      <c r="M7" s="252" t="s">
        <v>14</v>
      </c>
      <c r="N7" s="250">
        <v>9.2289999999999992</v>
      </c>
      <c r="O7" s="253"/>
    </row>
    <row r="8" spans="1:29" ht="10.199999999999999" customHeight="1">
      <c r="A8" s="255" t="s">
        <v>137</v>
      </c>
      <c r="B8" s="256">
        <f>B6/B5</f>
        <v>3.7859007832898167E-2</v>
      </c>
      <c r="C8" s="252"/>
      <c r="D8" s="256">
        <f>D6/D5</f>
        <v>9.9999999999999992E-2</v>
      </c>
      <c r="E8" s="256">
        <f>E6/E5</f>
        <v>1.589825119236884E-3</v>
      </c>
      <c r="F8" s="252"/>
      <c r="G8" s="256">
        <f>G6/G5</f>
        <v>6.6491688538932642E-2</v>
      </c>
      <c r="H8" s="256">
        <f>H6/H5</f>
        <v>1.6546116390110149E-2</v>
      </c>
      <c r="I8" s="300"/>
      <c r="J8" s="256">
        <f>J6/J5</f>
        <v>2.2632968691059974E-3</v>
      </c>
      <c r="K8" s="257"/>
      <c r="L8" s="256">
        <v>-9.8573930447835884E-2</v>
      </c>
      <c r="M8" s="256"/>
      <c r="N8" s="256">
        <v>1.9924988279418659E-2</v>
      </c>
      <c r="O8" s="258"/>
    </row>
    <row r="9" spans="1:29" s="264" customFormat="1" ht="10.199999999999999" customHeight="1" thickBot="1">
      <c r="A9" s="359" t="s">
        <v>148</v>
      </c>
      <c r="B9" s="353">
        <v>-5.33</v>
      </c>
      <c r="C9" s="259">
        <f>IF((+B9/D9)&lt;0,"n.m.",IF(B9&lt;0,(+B9/D9-1)*-1,(+B9/D9-1)))</f>
        <v>-5.7468354430379742</v>
      </c>
      <c r="D9" s="353">
        <v>-0.79</v>
      </c>
      <c r="E9" s="353">
        <v>-0.49</v>
      </c>
      <c r="F9" s="259" t="str">
        <f>IF((+E9/G9)&lt;0,"n.m.",IF(E9&lt;0,(+E9/G9-1)*-1,(+E9/G9-1)))</f>
        <v>n.m.</v>
      </c>
      <c r="G9" s="353">
        <v>3.94</v>
      </c>
      <c r="H9" s="260">
        <v>-7.87</v>
      </c>
      <c r="I9" s="300">
        <f t="shared" si="0"/>
        <v>0.5820943075615973</v>
      </c>
      <c r="J9" s="260">
        <v>-18.832000000000001</v>
      </c>
      <c r="K9" s="257">
        <f>(J9/L9)-1</f>
        <v>0.22764015645371583</v>
      </c>
      <c r="L9" s="260">
        <v>-15.34</v>
      </c>
      <c r="M9" s="261">
        <f>(L9/N9)-1</f>
        <v>7.9825425876390188E-2</v>
      </c>
      <c r="N9" s="262">
        <v>-14.206</v>
      </c>
      <c r="O9" s="263"/>
    </row>
    <row r="10" spans="1:29" ht="21" customHeight="1" thickBot="1">
      <c r="A10" s="360"/>
      <c r="B10" s="256"/>
      <c r="C10" s="252"/>
      <c r="D10" s="265"/>
      <c r="E10" s="256"/>
      <c r="F10" s="252"/>
      <c r="G10" s="265"/>
      <c r="H10" s="256"/>
      <c r="I10" s="252"/>
      <c r="J10" s="256"/>
      <c r="K10" s="252"/>
      <c r="L10" s="265"/>
      <c r="M10" s="266" t="s">
        <v>145</v>
      </c>
      <c r="N10" s="357">
        <f>Group!B15-'North + West'!B6-'South + East'!B6-'International + Special Divisio'!B6-Other!B9-B6</f>
        <v>-1.9999999995005679E-3</v>
      </c>
      <c r="O10" s="258"/>
    </row>
    <row r="11" spans="1:29" ht="10.199999999999999" customHeight="1">
      <c r="A11" s="255"/>
      <c r="B11" s="267"/>
      <c r="C11" s="257"/>
      <c r="D11" s="267"/>
      <c r="E11" s="267"/>
      <c r="F11" s="257"/>
      <c r="G11" s="267"/>
      <c r="H11" s="267"/>
      <c r="I11" s="257"/>
      <c r="J11" s="267"/>
      <c r="K11" s="257"/>
      <c r="L11" s="267"/>
      <c r="M11" s="268"/>
      <c r="N11" s="268"/>
      <c r="O11" s="258"/>
    </row>
    <row r="12" spans="1:29" s="165" customFormat="1" ht="10.199999999999999" customHeight="1">
      <c r="A12" s="249" t="s">
        <v>104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</row>
    <row r="13" spans="1:29" s="4" customFormat="1" ht="10.199999999999999">
      <c r="A13" s="270" t="s">
        <v>105</v>
      </c>
      <c r="B13" s="271"/>
      <c r="C13" s="259"/>
      <c r="D13" s="271"/>
      <c r="E13" s="271">
        <v>2337</v>
      </c>
      <c r="F13" s="259">
        <f t="shared" ref="F13:F31" si="1">IF((+E13/G13)&lt;0,"n.m.",IF(E13&lt;0,(+E13/G13-1)*-1,(+E13/G13-1)))</f>
        <v>2.589991220368737E-2</v>
      </c>
      <c r="G13" s="271">
        <v>2278</v>
      </c>
      <c r="H13" s="271">
        <v>2276</v>
      </c>
      <c r="I13" s="300">
        <f t="shared" ref="I13:I40" si="2">IF((+H13/J13)&lt;0,"n.m.",IF(H13&lt;0,(+H13/J13-1)*-1,(+H13/J13-1)))</f>
        <v>1.245551601423478E-2</v>
      </c>
      <c r="J13" s="271">
        <v>2248</v>
      </c>
      <c r="K13" s="259"/>
      <c r="L13" s="272"/>
      <c r="M13" s="259"/>
      <c r="N13" s="273"/>
      <c r="O13" s="18"/>
      <c r="P13" s="89"/>
      <c r="Q13" s="176"/>
      <c r="R13" s="133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s="4" customFormat="1" ht="10.199999999999999">
      <c r="A14" s="270" t="s">
        <v>106</v>
      </c>
      <c r="B14" s="271"/>
      <c r="C14" s="259"/>
      <c r="D14" s="271"/>
      <c r="E14" s="271">
        <v>1147</v>
      </c>
      <c r="F14" s="259">
        <f t="shared" si="1"/>
        <v>2.9622980251346576E-2</v>
      </c>
      <c r="G14" s="271">
        <v>1114</v>
      </c>
      <c r="H14" s="271">
        <v>1117</v>
      </c>
      <c r="I14" s="300">
        <f t="shared" si="2"/>
        <v>2.1023765996343702E-2</v>
      </c>
      <c r="J14" s="271">
        <v>1094</v>
      </c>
      <c r="K14" s="259"/>
      <c r="L14" s="272"/>
      <c r="M14" s="259"/>
      <c r="N14" s="273"/>
      <c r="O14" s="18"/>
      <c r="P14" s="89"/>
      <c r="Q14" s="176"/>
      <c r="R14" s="133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29" s="4" customFormat="1" ht="10.199999999999999">
      <c r="A15" s="270" t="s">
        <v>107</v>
      </c>
      <c r="B15" s="271"/>
      <c r="C15" s="259"/>
      <c r="D15" s="271"/>
      <c r="E15" s="271">
        <v>558</v>
      </c>
      <c r="F15" s="259">
        <f t="shared" si="1"/>
        <v>2.5735294117646967E-2</v>
      </c>
      <c r="G15" s="271">
        <v>544</v>
      </c>
      <c r="H15" s="271">
        <v>537</v>
      </c>
      <c r="I15" s="300">
        <f t="shared" si="2"/>
        <v>-5.4577464788732377E-2</v>
      </c>
      <c r="J15" s="271">
        <v>568</v>
      </c>
      <c r="K15" s="259"/>
      <c r="L15" s="272"/>
      <c r="M15" s="259"/>
      <c r="N15" s="273"/>
      <c r="O15" s="18"/>
      <c r="P15" s="89"/>
      <c r="Q15" s="176"/>
      <c r="R15" s="133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 s="4" customFormat="1" ht="10.199999999999999">
      <c r="A16" s="270" t="s">
        <v>108</v>
      </c>
      <c r="B16" s="271"/>
      <c r="C16" s="259"/>
      <c r="D16" s="271"/>
      <c r="E16" s="271">
        <v>353</v>
      </c>
      <c r="F16" s="259">
        <f t="shared" si="1"/>
        <v>-2.2160664819944609E-2</v>
      </c>
      <c r="G16" s="271">
        <v>361</v>
      </c>
      <c r="H16" s="271">
        <v>353</v>
      </c>
      <c r="I16" s="300">
        <f t="shared" si="2"/>
        <v>-1.3966480446927387E-2</v>
      </c>
      <c r="J16" s="271">
        <v>358</v>
      </c>
      <c r="K16" s="259"/>
      <c r="L16" s="272"/>
      <c r="M16" s="259"/>
      <c r="N16" s="273"/>
      <c r="O16" s="18"/>
      <c r="P16" s="89"/>
      <c r="Q16" s="176"/>
      <c r="R16" s="133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29" s="13" customFormat="1" ht="10.199999999999999">
      <c r="A17" s="270" t="s">
        <v>109</v>
      </c>
      <c r="B17" s="271"/>
      <c r="C17" s="259"/>
      <c r="D17" s="271"/>
      <c r="E17" s="271">
        <v>279</v>
      </c>
      <c r="F17" s="259">
        <f t="shared" si="1"/>
        <v>-2.4475524475524479E-2</v>
      </c>
      <c r="G17" s="271">
        <v>286</v>
      </c>
      <c r="H17" s="271">
        <v>286</v>
      </c>
      <c r="I17" s="300">
        <f t="shared" si="2"/>
        <v>7.9245283018867907E-2</v>
      </c>
      <c r="J17" s="271">
        <v>265</v>
      </c>
      <c r="K17" s="259"/>
      <c r="L17" s="272"/>
      <c r="M17" s="259"/>
      <c r="N17" s="273"/>
      <c r="O17" s="18"/>
      <c r="P17" s="89"/>
      <c r="Q17" s="176"/>
      <c r="R17" s="133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 s="13" customFormat="1" ht="10.199999999999999">
      <c r="A18" s="270" t="s">
        <v>110</v>
      </c>
      <c r="B18" s="271"/>
      <c r="C18" s="259"/>
      <c r="D18" s="271"/>
      <c r="E18" s="271">
        <v>139</v>
      </c>
      <c r="F18" s="259">
        <f t="shared" si="1"/>
        <v>-0.13664596273291929</v>
      </c>
      <c r="G18" s="271">
        <v>161</v>
      </c>
      <c r="H18" s="271">
        <v>159</v>
      </c>
      <c r="I18" s="300">
        <f t="shared" si="2"/>
        <v>-0.1067415730337079</v>
      </c>
      <c r="J18" s="271">
        <v>178</v>
      </c>
      <c r="K18" s="259"/>
      <c r="L18" s="272"/>
      <c r="M18" s="259"/>
      <c r="N18" s="273"/>
      <c r="O18" s="18"/>
      <c r="P18" s="89"/>
      <c r="Q18" s="176"/>
      <c r="R18" s="133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s="13" customFormat="1" ht="10.199999999999999">
      <c r="A19" s="270" t="s">
        <v>111</v>
      </c>
      <c r="B19" s="271"/>
      <c r="C19" s="259"/>
      <c r="D19" s="271"/>
      <c r="E19" s="271">
        <v>200</v>
      </c>
      <c r="F19" s="259">
        <f t="shared" si="1"/>
        <v>-0.16317991631799167</v>
      </c>
      <c r="G19" s="271">
        <v>239</v>
      </c>
      <c r="H19" s="271">
        <v>229</v>
      </c>
      <c r="I19" s="300">
        <f t="shared" si="2"/>
        <v>-2.5531914893617058E-2</v>
      </c>
      <c r="J19" s="271">
        <v>235</v>
      </c>
      <c r="K19" s="259"/>
      <c r="L19" s="272"/>
      <c r="M19" s="259"/>
      <c r="N19" s="273"/>
      <c r="O19" s="18"/>
      <c r="P19" s="89"/>
      <c r="Q19" s="176"/>
      <c r="R19" s="133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 s="13" customFormat="1" ht="10.199999999999999">
      <c r="A20" s="270" t="s">
        <v>112</v>
      </c>
      <c r="B20" s="271"/>
      <c r="C20" s="259"/>
      <c r="D20" s="271"/>
      <c r="E20" s="271">
        <v>159</v>
      </c>
      <c r="F20" s="259">
        <f t="shared" si="1"/>
        <v>-0.14516129032258063</v>
      </c>
      <c r="G20" s="271">
        <v>186</v>
      </c>
      <c r="H20" s="271">
        <v>179</v>
      </c>
      <c r="I20" s="300">
        <f t="shared" si="2"/>
        <v>-0.19730941704035876</v>
      </c>
      <c r="J20" s="271">
        <v>223</v>
      </c>
      <c r="K20" s="259"/>
      <c r="L20" s="272"/>
      <c r="M20" s="259"/>
      <c r="N20" s="273"/>
      <c r="O20" s="18"/>
      <c r="P20" s="89"/>
      <c r="Q20" s="176"/>
      <c r="R20" s="133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 s="13" customFormat="1" ht="10.199999999999999">
      <c r="A21" s="270" t="s">
        <v>113</v>
      </c>
      <c r="B21" s="271"/>
      <c r="C21" s="259"/>
      <c r="D21" s="271"/>
      <c r="E21" s="271">
        <v>100</v>
      </c>
      <c r="F21" s="259">
        <f t="shared" si="1"/>
        <v>5.2631578947368363E-2</v>
      </c>
      <c r="G21" s="271">
        <v>95</v>
      </c>
      <c r="H21" s="271">
        <v>94</v>
      </c>
      <c r="I21" s="300">
        <f t="shared" si="2"/>
        <v>-6.9306930693069257E-2</v>
      </c>
      <c r="J21" s="271">
        <v>101</v>
      </c>
      <c r="K21" s="259"/>
      <c r="L21" s="272"/>
      <c r="M21" s="259"/>
      <c r="N21" s="273"/>
      <c r="O21" s="18"/>
      <c r="P21" s="89"/>
      <c r="Q21" s="176"/>
      <c r="R21" s="133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s="13" customFormat="1" ht="10.199999999999999">
      <c r="A22" s="270" t="s">
        <v>114</v>
      </c>
      <c r="B22" s="271"/>
      <c r="C22" s="259"/>
      <c r="D22" s="271"/>
      <c r="E22" s="271">
        <v>14</v>
      </c>
      <c r="F22" s="259">
        <f t="shared" si="1"/>
        <v>7.6923076923076872E-2</v>
      </c>
      <c r="G22" s="271">
        <v>13</v>
      </c>
      <c r="H22" s="271">
        <v>14</v>
      </c>
      <c r="I22" s="300">
        <f t="shared" si="2"/>
        <v>0.16666666666666674</v>
      </c>
      <c r="J22" s="271">
        <v>12</v>
      </c>
      <c r="K22" s="259"/>
      <c r="L22" s="272"/>
      <c r="M22" s="259"/>
      <c r="N22" s="273"/>
      <c r="O22" s="18"/>
      <c r="P22" s="89"/>
      <c r="Q22" s="176"/>
      <c r="R22" s="133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s="13" customFormat="1" ht="10.199999999999999">
      <c r="A23" s="270" t="s">
        <v>115</v>
      </c>
      <c r="B23" s="271"/>
      <c r="C23" s="259"/>
      <c r="D23" s="271"/>
      <c r="E23" s="271">
        <v>103</v>
      </c>
      <c r="F23" s="259">
        <f t="shared" si="1"/>
        <v>0</v>
      </c>
      <c r="G23" s="271">
        <v>103</v>
      </c>
      <c r="H23" s="271">
        <v>102</v>
      </c>
      <c r="I23" s="300">
        <f t="shared" si="2"/>
        <v>-3.7735849056603765E-2</v>
      </c>
      <c r="J23" s="271">
        <v>106</v>
      </c>
      <c r="K23" s="259"/>
      <c r="L23" s="272"/>
      <c r="M23" s="259"/>
      <c r="N23" s="273"/>
      <c r="O23" s="18"/>
      <c r="P23" s="89"/>
      <c r="Q23" s="176"/>
      <c r="R23" s="133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s="13" customFormat="1" ht="10.199999999999999">
      <c r="A24" s="270" t="s">
        <v>116</v>
      </c>
      <c r="B24" s="271"/>
      <c r="C24" s="259"/>
      <c r="D24" s="271"/>
      <c r="E24" s="271">
        <v>56</v>
      </c>
      <c r="F24" s="259">
        <f t="shared" si="1"/>
        <v>-1.7543859649122862E-2</v>
      </c>
      <c r="G24" s="271">
        <v>57</v>
      </c>
      <c r="H24" s="271">
        <v>56</v>
      </c>
      <c r="I24" s="300">
        <f t="shared" si="2"/>
        <v>-1.7543859649122862E-2</v>
      </c>
      <c r="J24" s="271">
        <v>57</v>
      </c>
      <c r="K24" s="259"/>
      <c r="L24" s="272"/>
      <c r="M24" s="259"/>
      <c r="N24" s="273"/>
      <c r="O24" s="18"/>
      <c r="P24" s="89"/>
      <c r="Q24" s="176"/>
      <c r="R24" s="133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s="13" customFormat="1" ht="10.199999999999999">
      <c r="A25" s="270" t="s">
        <v>117</v>
      </c>
      <c r="B25" s="271"/>
      <c r="C25" s="259"/>
      <c r="D25" s="271"/>
      <c r="E25" s="271">
        <v>155</v>
      </c>
      <c r="F25" s="259">
        <f t="shared" si="1"/>
        <v>-6.6265060240963902E-2</v>
      </c>
      <c r="G25" s="271">
        <v>166</v>
      </c>
      <c r="H25" s="271">
        <v>161</v>
      </c>
      <c r="I25" s="300">
        <f t="shared" si="2"/>
        <v>-6.9364161849710948E-2</v>
      </c>
      <c r="J25" s="271">
        <v>173</v>
      </c>
      <c r="K25" s="259"/>
      <c r="L25" s="272"/>
      <c r="M25" s="259"/>
      <c r="N25" s="273"/>
      <c r="O25" s="18"/>
      <c r="P25" s="89"/>
      <c r="Q25" s="176"/>
      <c r="R25" s="133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s="13" customFormat="1" ht="10.199999999999999">
      <c r="A26" s="270" t="s">
        <v>118</v>
      </c>
      <c r="B26" s="274"/>
      <c r="C26" s="259"/>
      <c r="D26" s="274"/>
      <c r="E26" s="274">
        <v>59</v>
      </c>
      <c r="F26" s="259">
        <f t="shared" si="1"/>
        <v>9.259259259259256E-2</v>
      </c>
      <c r="G26" s="274">
        <v>54</v>
      </c>
      <c r="H26" s="274">
        <v>56</v>
      </c>
      <c r="I26" s="300">
        <f t="shared" si="2"/>
        <v>0.39999999999999991</v>
      </c>
      <c r="J26" s="274">
        <v>40</v>
      </c>
      <c r="K26" s="259"/>
      <c r="L26" s="275"/>
      <c r="M26" s="259"/>
      <c r="N26" s="276"/>
      <c r="O26" s="18"/>
      <c r="P26" s="89"/>
      <c r="Q26" s="176"/>
      <c r="R26" s="133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s="13" customFormat="1" ht="10.199999999999999">
      <c r="A27" s="270" t="s">
        <v>119</v>
      </c>
      <c r="B27" s="271"/>
      <c r="C27" s="259"/>
      <c r="D27" s="271"/>
      <c r="E27" s="271">
        <v>34</v>
      </c>
      <c r="F27" s="259">
        <f t="shared" si="1"/>
        <v>-8.108108108108103E-2</v>
      </c>
      <c r="G27" s="271">
        <v>37</v>
      </c>
      <c r="H27" s="271">
        <v>35</v>
      </c>
      <c r="I27" s="300">
        <f t="shared" si="2"/>
        <v>-5.4054054054054057E-2</v>
      </c>
      <c r="J27" s="271">
        <v>37</v>
      </c>
      <c r="K27" s="259"/>
      <c r="L27" s="272"/>
      <c r="M27" s="259"/>
      <c r="N27" s="273"/>
      <c r="O27" s="18"/>
      <c r="P27" s="89"/>
      <c r="Q27" s="176"/>
      <c r="R27" s="133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 s="4" customFormat="1" ht="10.199999999999999">
      <c r="A28" s="270" t="s">
        <v>120</v>
      </c>
      <c r="B28" s="271"/>
      <c r="C28" s="259"/>
      <c r="D28" s="271"/>
      <c r="E28" s="271">
        <v>26</v>
      </c>
      <c r="F28" s="259">
        <f t="shared" si="1"/>
        <v>-0.10344827586206895</v>
      </c>
      <c r="G28" s="271">
        <v>29</v>
      </c>
      <c r="H28" s="271">
        <v>27</v>
      </c>
      <c r="I28" s="300">
        <f t="shared" si="2"/>
        <v>-3.5714285714285698E-2</v>
      </c>
      <c r="J28" s="271">
        <v>28</v>
      </c>
      <c r="K28" s="259"/>
      <c r="L28" s="272"/>
      <c r="M28" s="259"/>
      <c r="N28" s="273"/>
      <c r="O28" s="18"/>
      <c r="P28" s="89"/>
      <c r="Q28" s="176"/>
      <c r="R28" s="133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s="13" customFormat="1" ht="10.199999999999999">
      <c r="A29" s="270" t="s">
        <v>121</v>
      </c>
      <c r="B29" s="271"/>
      <c r="C29" s="259"/>
      <c r="D29" s="271"/>
      <c r="E29" s="271">
        <v>0</v>
      </c>
      <c r="F29" s="259"/>
      <c r="G29" s="271">
        <v>0</v>
      </c>
      <c r="H29" s="271">
        <v>0</v>
      </c>
      <c r="I29" s="300"/>
      <c r="J29" s="271">
        <v>0</v>
      </c>
      <c r="K29" s="259"/>
      <c r="L29" s="272"/>
      <c r="M29" s="259"/>
      <c r="N29" s="273"/>
      <c r="O29" s="18"/>
      <c r="P29" s="89"/>
      <c r="Q29" s="176"/>
      <c r="R29" s="133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 s="13" customFormat="1" ht="10.199999999999999">
      <c r="A30" s="270" t="s">
        <v>122</v>
      </c>
      <c r="B30" s="271"/>
      <c r="C30" s="259"/>
      <c r="D30" s="271"/>
      <c r="E30" s="271">
        <v>19</v>
      </c>
      <c r="F30" s="259">
        <f t="shared" si="1"/>
        <v>0.11764705882352944</v>
      </c>
      <c r="G30" s="271">
        <v>17</v>
      </c>
      <c r="H30" s="271">
        <v>18</v>
      </c>
      <c r="I30" s="300">
        <f t="shared" si="2"/>
        <v>0.38461538461538458</v>
      </c>
      <c r="J30" s="271">
        <v>13</v>
      </c>
      <c r="K30" s="259"/>
      <c r="L30" s="272"/>
      <c r="M30" s="259"/>
      <c r="N30" s="273"/>
      <c r="O30" s="18"/>
      <c r="P30" s="89"/>
      <c r="Q30" s="176"/>
      <c r="R30" s="133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s="13" customFormat="1" ht="10.199999999999999">
      <c r="A31" s="270" t="s">
        <v>123</v>
      </c>
      <c r="B31" s="271"/>
      <c r="C31" s="259"/>
      <c r="D31" s="271"/>
      <c r="E31" s="271">
        <v>0</v>
      </c>
      <c r="F31" s="259">
        <f t="shared" si="1"/>
        <v>-1</v>
      </c>
      <c r="G31" s="271">
        <v>5</v>
      </c>
      <c r="H31" s="271">
        <v>5</v>
      </c>
      <c r="I31" s="300">
        <f t="shared" si="2"/>
        <v>0</v>
      </c>
      <c r="J31" s="271">
        <v>5</v>
      </c>
      <c r="K31" s="259"/>
      <c r="L31" s="272"/>
      <c r="M31" s="259"/>
      <c r="N31" s="273"/>
      <c r="O31" s="18"/>
      <c r="P31" s="89"/>
      <c r="Q31" s="176"/>
      <c r="R31" s="133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s="13" customFormat="1" ht="10.199999999999999">
      <c r="A32" s="270" t="s">
        <v>124</v>
      </c>
      <c r="B32" s="271"/>
      <c r="C32" s="259"/>
      <c r="D32" s="271"/>
      <c r="E32" s="271">
        <v>1</v>
      </c>
      <c r="F32" s="259"/>
      <c r="G32" s="271">
        <v>0</v>
      </c>
      <c r="H32" s="271">
        <v>1</v>
      </c>
      <c r="I32" s="300"/>
      <c r="J32" s="271">
        <v>0</v>
      </c>
      <c r="K32" s="277"/>
      <c r="L32" s="272"/>
      <c r="M32" s="277"/>
      <c r="N32" s="273"/>
      <c r="O32" s="93"/>
      <c r="P32" s="94"/>
      <c r="Q32" s="181"/>
      <c r="R32" s="133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s="13" customFormat="1" ht="10.199999999999999">
      <c r="A33" s="270" t="s">
        <v>125</v>
      </c>
      <c r="B33" s="278"/>
      <c r="C33" s="259"/>
      <c r="D33" s="278"/>
      <c r="E33" s="278">
        <v>0</v>
      </c>
      <c r="F33" s="259"/>
      <c r="G33" s="278">
        <v>0</v>
      </c>
      <c r="H33" s="278">
        <v>0</v>
      </c>
      <c r="I33" s="300"/>
      <c r="J33" s="278">
        <v>0</v>
      </c>
      <c r="K33" s="259"/>
      <c r="L33" s="279"/>
      <c r="M33" s="259"/>
      <c r="N33" s="278"/>
      <c r="O33" s="16"/>
      <c r="P33" s="89"/>
      <c r="Q33" s="16"/>
      <c r="R33" s="8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s="13" customFormat="1" ht="10.199999999999999">
      <c r="A34" s="270" t="s">
        <v>126</v>
      </c>
      <c r="B34" s="278"/>
      <c r="C34" s="259"/>
      <c r="D34" s="278"/>
      <c r="E34" s="278">
        <v>0</v>
      </c>
      <c r="F34" s="259"/>
      <c r="G34" s="278">
        <v>0</v>
      </c>
      <c r="H34" s="278">
        <v>0</v>
      </c>
      <c r="I34" s="300"/>
      <c r="J34" s="278">
        <v>0</v>
      </c>
      <c r="K34" s="259"/>
      <c r="L34" s="279"/>
      <c r="M34" s="259"/>
      <c r="N34" s="278"/>
      <c r="O34" s="16"/>
      <c r="P34" s="89"/>
      <c r="Q34" s="16"/>
      <c r="R34" s="8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s="13" customFormat="1" ht="10.199999999999999">
      <c r="A35" s="276" t="s">
        <v>105</v>
      </c>
      <c r="B35" s="280"/>
      <c r="C35" s="259"/>
      <c r="D35" s="280"/>
      <c r="E35" s="280">
        <f>E13</f>
        <v>2337</v>
      </c>
      <c r="F35" s="259">
        <f t="shared" ref="F35:F40" si="3">IF((+E35/G35)&lt;0,"n.m.",IF(E35&lt;0,(+E35/G35-1)*-1,(+E35/G35-1)))</f>
        <v>2.589991220368737E-2</v>
      </c>
      <c r="G35" s="280">
        <f>G13</f>
        <v>2278</v>
      </c>
      <c r="H35" s="280">
        <f>H13</f>
        <v>2276</v>
      </c>
      <c r="I35" s="300">
        <f t="shared" si="2"/>
        <v>1.245551601423478E-2</v>
      </c>
      <c r="J35" s="280">
        <f>J13</f>
        <v>2248</v>
      </c>
      <c r="K35" s="259"/>
      <c r="L35" s="281"/>
      <c r="M35" s="259"/>
      <c r="N35" s="278"/>
      <c r="O35" s="18"/>
      <c r="P35" s="89"/>
      <c r="Q35" s="176"/>
      <c r="R35" s="8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 s="13" customFormat="1" ht="10.199999999999999">
      <c r="A36" s="276" t="s">
        <v>106</v>
      </c>
      <c r="B36" s="280"/>
      <c r="C36" s="259"/>
      <c r="D36" s="280"/>
      <c r="E36" s="280">
        <f>E14</f>
        <v>1147</v>
      </c>
      <c r="F36" s="259">
        <f t="shared" si="3"/>
        <v>2.9622980251346576E-2</v>
      </c>
      <c r="G36" s="280">
        <f>G14</f>
        <v>1114</v>
      </c>
      <c r="H36" s="280">
        <f>H14</f>
        <v>1117</v>
      </c>
      <c r="I36" s="300">
        <f t="shared" si="2"/>
        <v>2.1023765996343702E-2</v>
      </c>
      <c r="J36" s="280">
        <f>J14</f>
        <v>1094</v>
      </c>
      <c r="K36" s="259"/>
      <c r="L36" s="281"/>
      <c r="M36" s="259"/>
      <c r="N36" s="278"/>
      <c r="O36" s="18"/>
      <c r="P36" s="89"/>
      <c r="Q36" s="176"/>
      <c r="R36" s="8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 s="4" customFormat="1" ht="10.199999999999999">
      <c r="A37" s="276" t="s">
        <v>127</v>
      </c>
      <c r="B37" s="274"/>
      <c r="C37" s="259"/>
      <c r="D37" s="274"/>
      <c r="E37" s="274">
        <f>E15+E16+E17+E18+E19+E20+E21+E22+E23+E24</f>
        <v>1961</v>
      </c>
      <c r="F37" s="259">
        <f t="shared" si="3"/>
        <v>-4.107579462102684E-2</v>
      </c>
      <c r="G37" s="274">
        <f>G15+G16+G17+G18+G19+G20+G21+G22+G23+G24</f>
        <v>2045</v>
      </c>
      <c r="H37" s="274">
        <f>H15+H16+H17+H18+H19+H20+H21+H22+H23+H24</f>
        <v>2009</v>
      </c>
      <c r="I37" s="300">
        <f t="shared" si="2"/>
        <v>-4.4698050404184508E-2</v>
      </c>
      <c r="J37" s="274">
        <f>J15+J16+J17+J18+J19+J20+J21+J22+J23+J24</f>
        <v>2103</v>
      </c>
      <c r="K37" s="259"/>
      <c r="L37" s="275"/>
      <c r="M37" s="259"/>
      <c r="N37" s="282"/>
      <c r="O37" s="18"/>
      <c r="P37" s="33"/>
      <c r="Q37" s="176"/>
      <c r="R37" s="33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s="4" customFormat="1" ht="10.199999999999999">
      <c r="A38" s="276" t="s">
        <v>128</v>
      </c>
      <c r="B38" s="274"/>
      <c r="C38" s="259"/>
      <c r="D38" s="274"/>
      <c r="E38" s="274">
        <f>E25+E26+E27+E28+E29+E30</f>
        <v>293</v>
      </c>
      <c r="F38" s="259">
        <f t="shared" si="3"/>
        <v>-3.3003300330032959E-2</v>
      </c>
      <c r="G38" s="274">
        <f>G25+G26+G27+G28+G29+G30</f>
        <v>303</v>
      </c>
      <c r="H38" s="274">
        <f>H25+H26+H27+H28+H29+H30</f>
        <v>297</v>
      </c>
      <c r="I38" s="300">
        <f t="shared" si="2"/>
        <v>2.0618556701030855E-2</v>
      </c>
      <c r="J38" s="274">
        <f>J25+J26+J27+J28+J29+J30</f>
        <v>291</v>
      </c>
      <c r="K38" s="259"/>
      <c r="L38" s="275"/>
      <c r="M38" s="259"/>
      <c r="N38" s="282"/>
      <c r="O38" s="18"/>
      <c r="P38" s="33"/>
      <c r="Q38" s="176"/>
      <c r="R38" s="33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s="13" customFormat="1" ht="10.199999999999999">
      <c r="A39" s="276" t="s">
        <v>129</v>
      </c>
      <c r="B39" s="274"/>
      <c r="C39" s="259"/>
      <c r="D39" s="274"/>
      <c r="E39" s="274">
        <f>E31+E32+E33+E34</f>
        <v>1</v>
      </c>
      <c r="F39" s="259">
        <f t="shared" si="3"/>
        <v>-0.8</v>
      </c>
      <c r="G39" s="274">
        <f>G31+G32+G33+G34</f>
        <v>5</v>
      </c>
      <c r="H39" s="274">
        <f>H31+H32+H33+H34</f>
        <v>6</v>
      </c>
      <c r="I39" s="300">
        <f t="shared" si="2"/>
        <v>0.19999999999999996</v>
      </c>
      <c r="J39" s="274">
        <f>J31+J32+J33+J34</f>
        <v>5</v>
      </c>
      <c r="K39" s="259"/>
      <c r="L39" s="275"/>
      <c r="M39" s="259"/>
      <c r="N39" s="282"/>
      <c r="O39" s="18"/>
      <c r="P39" s="33"/>
      <c r="Q39" s="176"/>
      <c r="R39" s="33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 s="4" customFormat="1" ht="10.199999999999999">
      <c r="A40" s="283" t="s">
        <v>130</v>
      </c>
      <c r="B40" s="284"/>
      <c r="C40" s="251"/>
      <c r="D40" s="284"/>
      <c r="E40" s="284">
        <f>SUM(E35:E39)</f>
        <v>5739</v>
      </c>
      <c r="F40" s="251">
        <f t="shared" si="3"/>
        <v>-1.0443864229765509E-3</v>
      </c>
      <c r="G40" s="284">
        <f>SUM(G35:G39)</f>
        <v>5745</v>
      </c>
      <c r="H40" s="284">
        <f>SUM(H35:H39)</f>
        <v>5705</v>
      </c>
      <c r="I40" s="301">
        <f t="shared" si="2"/>
        <v>-6.2706845497300101E-3</v>
      </c>
      <c r="J40" s="284">
        <f>SUM(J35:J39)</f>
        <v>5741</v>
      </c>
      <c r="K40" s="252">
        <f>(J40/L40)-1</f>
        <v>-6.2316081010905799E-3</v>
      </c>
      <c r="L40" s="285">
        <v>5777</v>
      </c>
      <c r="M40" s="251">
        <v>2.4472424188686004E-2</v>
      </c>
      <c r="N40" s="285">
        <v>5639</v>
      </c>
      <c r="O40" s="9"/>
      <c r="P40" s="100"/>
      <c r="Q40" s="190"/>
      <c r="R40" s="100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s="197" customFormat="1" ht="10.199999999999999">
      <c r="A41" s="286" t="s">
        <v>140</v>
      </c>
      <c r="B41" s="287"/>
      <c r="C41" s="259"/>
      <c r="D41" s="287"/>
      <c r="E41" s="287">
        <f>E40/Group!E152</f>
        <v>7.879237200873182E-2</v>
      </c>
      <c r="F41" s="259"/>
      <c r="G41" s="287">
        <f>G40/Group!G152</f>
        <v>8.0671206908656881E-2</v>
      </c>
      <c r="H41" s="287">
        <f>H40/Group!H152</f>
        <v>7.8251447068828348E-2</v>
      </c>
      <c r="I41" s="288"/>
      <c r="J41" s="287">
        <f>J40/Group!J152</f>
        <v>7.8536251709986321E-2</v>
      </c>
      <c r="K41" s="288"/>
      <c r="L41" s="288">
        <f>L40/Group!L152</f>
        <v>7.8057019321713286E-2</v>
      </c>
      <c r="M41" s="288"/>
      <c r="N41" s="288">
        <f>N40/Group!N152</f>
        <v>7.3361434184164645E-2</v>
      </c>
      <c r="O41" s="289"/>
      <c r="P41" s="195"/>
      <c r="Q41" s="194"/>
      <c r="R41" s="195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</row>
    <row r="42" spans="1:29" ht="12" customHeight="1">
      <c r="A42" s="255"/>
      <c r="B42" s="267"/>
      <c r="C42" s="259"/>
      <c r="D42" s="267"/>
      <c r="E42" s="267"/>
      <c r="F42" s="259"/>
      <c r="G42" s="267"/>
      <c r="H42" s="267"/>
      <c r="I42" s="257"/>
      <c r="J42" s="267"/>
      <c r="K42" s="257"/>
      <c r="L42" s="267"/>
      <c r="M42" s="252"/>
      <c r="N42" s="267"/>
    </row>
    <row r="43" spans="1:29" s="165" customFormat="1" ht="12" customHeight="1">
      <c r="A43" s="283" t="s">
        <v>4</v>
      </c>
      <c r="B43" s="269"/>
      <c r="C43" s="259"/>
      <c r="D43" s="269"/>
      <c r="E43" s="269"/>
      <c r="F43" s="259"/>
      <c r="G43" s="269"/>
      <c r="H43" s="269"/>
      <c r="I43" s="257"/>
      <c r="J43" s="269"/>
      <c r="K43" s="257"/>
      <c r="L43" s="269"/>
      <c r="M43" s="252"/>
      <c r="N43" s="269"/>
    </row>
    <row r="44" spans="1:29" s="4" customFormat="1" ht="10.199999999999999">
      <c r="A44" s="270" t="s">
        <v>105</v>
      </c>
      <c r="B44" s="290"/>
      <c r="C44" s="259"/>
      <c r="D44" s="290"/>
      <c r="E44" s="290">
        <v>26.76</v>
      </c>
      <c r="F44" s="259">
        <f t="shared" ref="F44:F65" si="4">IF((+E44/G44)&lt;0,"n.m.",IF(E44&lt;0,(+E44/G44-1)*-1,(+E44/G44-1)))</f>
        <v>0.11919698870765383</v>
      </c>
      <c r="G44" s="290">
        <v>23.91</v>
      </c>
      <c r="H44" s="290">
        <v>54.63</v>
      </c>
      <c r="I44" s="300">
        <f t="shared" ref="I44:I71" si="5">IF((+H44/J44)&lt;0,"n.m.",IF(H44&lt;0,(+H44/J44-1)*-1,(+H44/J44-1)))</f>
        <v>-3.4805653710247353E-2</v>
      </c>
      <c r="J44" s="290">
        <v>56.6</v>
      </c>
      <c r="K44" s="259"/>
      <c r="L44" s="272"/>
      <c r="M44" s="259"/>
      <c r="N44" s="273"/>
      <c r="O44" s="18"/>
      <c r="P44" s="89"/>
      <c r="Q44" s="176"/>
      <c r="R44" s="133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s="4" customFormat="1" ht="10.199999999999999">
      <c r="A45" s="270" t="s">
        <v>106</v>
      </c>
      <c r="B45" s="290"/>
      <c r="C45" s="259"/>
      <c r="D45" s="290"/>
      <c r="E45" s="290">
        <v>18.62</v>
      </c>
      <c r="F45" s="259">
        <f t="shared" si="4"/>
        <v>0.36811168258633375</v>
      </c>
      <c r="G45" s="290">
        <v>13.61</v>
      </c>
      <c r="H45" s="290">
        <v>36.11</v>
      </c>
      <c r="I45" s="300">
        <f t="shared" si="5"/>
        <v>9.5051719317862382E-3</v>
      </c>
      <c r="J45" s="290">
        <v>35.770000000000003</v>
      </c>
      <c r="K45" s="259"/>
      <c r="L45" s="272"/>
      <c r="M45" s="259"/>
      <c r="N45" s="273"/>
      <c r="O45" s="18"/>
      <c r="P45" s="89"/>
      <c r="Q45" s="176"/>
      <c r="R45" s="133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s="4" customFormat="1" ht="10.199999999999999">
      <c r="A46" s="270" t="s">
        <v>107</v>
      </c>
      <c r="B46" s="290"/>
      <c r="C46" s="259"/>
      <c r="D46" s="290"/>
      <c r="E46" s="290">
        <v>5.15</v>
      </c>
      <c r="F46" s="259">
        <f t="shared" si="4"/>
        <v>0.34816753926701582</v>
      </c>
      <c r="G46" s="290">
        <v>3.82</v>
      </c>
      <c r="H46" s="290">
        <v>8.24</v>
      </c>
      <c r="I46" s="300">
        <f t="shared" si="5"/>
        <v>-0.47111681643132219</v>
      </c>
      <c r="J46" s="290">
        <v>15.58</v>
      </c>
      <c r="K46" s="259"/>
      <c r="L46" s="272"/>
      <c r="M46" s="259"/>
      <c r="N46" s="273"/>
      <c r="O46" s="18"/>
      <c r="P46" s="89"/>
      <c r="Q46" s="176"/>
      <c r="R46" s="133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s="4" customFormat="1" ht="10.199999999999999">
      <c r="A47" s="270" t="s">
        <v>108</v>
      </c>
      <c r="B47" s="290"/>
      <c r="C47" s="259"/>
      <c r="D47" s="290"/>
      <c r="E47" s="290">
        <v>2.5299999999999998</v>
      </c>
      <c r="F47" s="259">
        <f t="shared" si="4"/>
        <v>-0.11846689895470397</v>
      </c>
      <c r="G47" s="290">
        <v>2.87</v>
      </c>
      <c r="H47" s="290">
        <v>5.65</v>
      </c>
      <c r="I47" s="300">
        <f t="shared" si="5"/>
        <v>-4.7217537942664478E-2</v>
      </c>
      <c r="J47" s="290">
        <v>5.9300000000000006</v>
      </c>
      <c r="K47" s="259"/>
      <c r="L47" s="272"/>
      <c r="M47" s="259"/>
      <c r="N47" s="273"/>
      <c r="O47" s="18"/>
      <c r="P47" s="89"/>
      <c r="Q47" s="176"/>
      <c r="R47" s="133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s="13" customFormat="1" ht="10.199999999999999">
      <c r="A48" s="270" t="s">
        <v>109</v>
      </c>
      <c r="B48" s="290"/>
      <c r="C48" s="259"/>
      <c r="D48" s="290"/>
      <c r="E48" s="290">
        <v>6.68</v>
      </c>
      <c r="F48" s="259">
        <f t="shared" si="4"/>
        <v>1.3438596491228068</v>
      </c>
      <c r="G48" s="290">
        <v>2.85</v>
      </c>
      <c r="H48" s="290">
        <v>5.81</v>
      </c>
      <c r="I48" s="300">
        <f t="shared" si="5"/>
        <v>0.24678111587982809</v>
      </c>
      <c r="J48" s="290">
        <v>4.66</v>
      </c>
      <c r="K48" s="259"/>
      <c r="L48" s="272"/>
      <c r="M48" s="259"/>
      <c r="N48" s="273"/>
      <c r="O48" s="18"/>
      <c r="P48" s="89"/>
      <c r="Q48" s="176"/>
      <c r="R48" s="133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 s="13" customFormat="1" ht="10.199999999999999">
      <c r="A49" s="270" t="s">
        <v>110</v>
      </c>
      <c r="B49" s="290"/>
      <c r="C49" s="259"/>
      <c r="D49" s="290"/>
      <c r="E49" s="290">
        <v>1.88</v>
      </c>
      <c r="F49" s="259">
        <f t="shared" si="4"/>
        <v>1.043478260869565</v>
      </c>
      <c r="G49" s="290">
        <v>0.92</v>
      </c>
      <c r="H49" s="290">
        <v>5.55</v>
      </c>
      <c r="I49" s="300">
        <f t="shared" si="5"/>
        <v>0.875</v>
      </c>
      <c r="J49" s="290">
        <v>2.96</v>
      </c>
      <c r="K49" s="259"/>
      <c r="L49" s="272"/>
      <c r="M49" s="259"/>
      <c r="N49" s="273"/>
      <c r="O49" s="18"/>
      <c r="P49" s="89"/>
      <c r="Q49" s="176"/>
      <c r="R49" s="133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 s="13" customFormat="1" ht="10.199999999999999">
      <c r="A50" s="270" t="s">
        <v>111</v>
      </c>
      <c r="B50" s="290"/>
      <c r="C50" s="259"/>
      <c r="D50" s="290"/>
      <c r="E50" s="290">
        <v>0.25</v>
      </c>
      <c r="F50" s="259">
        <f t="shared" si="4"/>
        <v>-0.7685185185185186</v>
      </c>
      <c r="G50" s="290">
        <v>1.08</v>
      </c>
      <c r="H50" s="290">
        <v>1.63</v>
      </c>
      <c r="I50" s="300">
        <f t="shared" si="5"/>
        <v>-0.17258883248730972</v>
      </c>
      <c r="J50" s="290">
        <v>1.97</v>
      </c>
      <c r="K50" s="259"/>
      <c r="L50" s="272"/>
      <c r="M50" s="259"/>
      <c r="N50" s="273"/>
      <c r="O50" s="18"/>
      <c r="P50" s="89"/>
      <c r="Q50" s="176"/>
      <c r="R50" s="133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 s="13" customFormat="1" ht="10.199999999999999">
      <c r="A51" s="270" t="s">
        <v>112</v>
      </c>
      <c r="B51" s="290"/>
      <c r="C51" s="259"/>
      <c r="D51" s="290"/>
      <c r="E51" s="290">
        <v>0.15</v>
      </c>
      <c r="F51" s="259">
        <f t="shared" si="4"/>
        <v>-0.68085106382978722</v>
      </c>
      <c r="G51" s="290">
        <v>0.47</v>
      </c>
      <c r="H51" s="290">
        <v>2.75</v>
      </c>
      <c r="I51" s="300">
        <f t="shared" si="5"/>
        <v>0.27906976744186052</v>
      </c>
      <c r="J51" s="290">
        <v>2.15</v>
      </c>
      <c r="K51" s="259"/>
      <c r="L51" s="272"/>
      <c r="M51" s="259"/>
      <c r="N51" s="273"/>
      <c r="O51" s="18"/>
      <c r="P51" s="89"/>
      <c r="Q51" s="176"/>
      <c r="R51" s="133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 s="13" customFormat="1" ht="10.199999999999999">
      <c r="A52" s="270" t="s">
        <v>113</v>
      </c>
      <c r="B52" s="290"/>
      <c r="C52" s="259"/>
      <c r="D52" s="290"/>
      <c r="E52" s="290">
        <v>0.24</v>
      </c>
      <c r="F52" s="259">
        <f t="shared" si="4"/>
        <v>-0.45454545454545459</v>
      </c>
      <c r="G52" s="290">
        <v>0.44</v>
      </c>
      <c r="H52" s="290">
        <v>0.84</v>
      </c>
      <c r="I52" s="300">
        <f t="shared" si="5"/>
        <v>0.37704918032786883</v>
      </c>
      <c r="J52" s="290">
        <v>0.61</v>
      </c>
      <c r="K52" s="259"/>
      <c r="L52" s="272"/>
      <c r="M52" s="259"/>
      <c r="N52" s="273"/>
      <c r="O52" s="18"/>
      <c r="P52" s="89"/>
      <c r="Q52" s="176"/>
      <c r="R52" s="133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 s="13" customFormat="1" ht="10.199999999999999">
      <c r="A53" s="270" t="s">
        <v>114</v>
      </c>
      <c r="B53" s="290"/>
      <c r="C53" s="259"/>
      <c r="D53" s="290"/>
      <c r="E53" s="290">
        <v>0.02</v>
      </c>
      <c r="F53" s="259">
        <f t="shared" si="4"/>
        <v>-0.5</v>
      </c>
      <c r="G53" s="290">
        <v>0.04</v>
      </c>
      <c r="H53" s="290">
        <v>7.0000000000000007E-2</v>
      </c>
      <c r="I53" s="300">
        <f t="shared" si="5"/>
        <v>-0.12499999999999989</v>
      </c>
      <c r="J53" s="290">
        <v>0.08</v>
      </c>
      <c r="K53" s="259"/>
      <c r="L53" s="272"/>
      <c r="M53" s="259"/>
      <c r="N53" s="273"/>
      <c r="O53" s="18"/>
      <c r="P53" s="89"/>
      <c r="Q53" s="176"/>
      <c r="R53" s="133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 s="13" customFormat="1" ht="10.199999999999999">
      <c r="A54" s="270" t="s">
        <v>115</v>
      </c>
      <c r="B54" s="290"/>
      <c r="C54" s="259"/>
      <c r="D54" s="290"/>
      <c r="E54" s="290">
        <v>0.44</v>
      </c>
      <c r="F54" s="259">
        <f t="shared" si="4"/>
        <v>0.29411764705882337</v>
      </c>
      <c r="G54" s="290">
        <v>0.34</v>
      </c>
      <c r="H54" s="290">
        <v>0.59</v>
      </c>
      <c r="I54" s="300">
        <f t="shared" si="5"/>
        <v>-0.43809523809523809</v>
      </c>
      <c r="J54" s="290">
        <v>1.05</v>
      </c>
      <c r="K54" s="259"/>
      <c r="L54" s="272"/>
      <c r="M54" s="259"/>
      <c r="N54" s="273"/>
      <c r="O54" s="18"/>
      <c r="P54" s="89"/>
      <c r="Q54" s="176"/>
      <c r="R54" s="133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 s="13" customFormat="1" ht="10.199999999999999">
      <c r="A55" s="270" t="s">
        <v>116</v>
      </c>
      <c r="B55" s="290"/>
      <c r="C55" s="259"/>
      <c r="D55" s="290"/>
      <c r="E55" s="290">
        <v>0.51</v>
      </c>
      <c r="F55" s="259">
        <f t="shared" si="4"/>
        <v>6.25E-2</v>
      </c>
      <c r="G55" s="290">
        <v>0.48</v>
      </c>
      <c r="H55" s="290">
        <v>1</v>
      </c>
      <c r="I55" s="300">
        <f t="shared" si="5"/>
        <v>6.3829787234042534E-2</v>
      </c>
      <c r="J55" s="290">
        <v>0.94000000000000006</v>
      </c>
      <c r="K55" s="259"/>
      <c r="L55" s="272"/>
      <c r="M55" s="259"/>
      <c r="N55" s="273"/>
      <c r="O55" s="18"/>
      <c r="P55" s="89"/>
      <c r="Q55" s="176"/>
      <c r="R55" s="133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 s="13" customFormat="1" ht="10.199999999999999">
      <c r="A56" s="270" t="s">
        <v>117</v>
      </c>
      <c r="B56" s="290"/>
      <c r="C56" s="259"/>
      <c r="D56" s="290"/>
      <c r="E56" s="290">
        <v>1.52</v>
      </c>
      <c r="F56" s="259">
        <f t="shared" si="4"/>
        <v>-0.5</v>
      </c>
      <c r="G56" s="290">
        <v>3.04</v>
      </c>
      <c r="H56" s="290">
        <v>4.53</v>
      </c>
      <c r="I56" s="300">
        <f t="shared" si="5"/>
        <v>0.20799999999999996</v>
      </c>
      <c r="J56" s="290">
        <v>3.75</v>
      </c>
      <c r="K56" s="259"/>
      <c r="L56" s="272"/>
      <c r="M56" s="259"/>
      <c r="N56" s="273"/>
      <c r="O56" s="18"/>
      <c r="P56" s="89"/>
      <c r="Q56" s="176"/>
      <c r="R56" s="133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 s="13" customFormat="1" ht="10.199999999999999">
      <c r="A57" s="270" t="s">
        <v>118</v>
      </c>
      <c r="B57" s="291"/>
      <c r="C57" s="259"/>
      <c r="D57" s="291"/>
      <c r="E57" s="291">
        <v>0.36</v>
      </c>
      <c r="F57" s="259">
        <f t="shared" si="4"/>
        <v>-0.30769230769230771</v>
      </c>
      <c r="G57" s="291">
        <v>0.52</v>
      </c>
      <c r="H57" s="291">
        <v>1.42</v>
      </c>
      <c r="I57" s="300">
        <f t="shared" si="5"/>
        <v>0.16393442622950816</v>
      </c>
      <c r="J57" s="291">
        <v>1.22</v>
      </c>
      <c r="K57" s="259"/>
      <c r="L57" s="275"/>
      <c r="M57" s="259"/>
      <c r="N57" s="276"/>
      <c r="O57" s="18"/>
      <c r="P57" s="89"/>
      <c r="Q57" s="176"/>
      <c r="R57" s="133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 s="13" customFormat="1" ht="10.199999999999999">
      <c r="A58" s="270" t="s">
        <v>119</v>
      </c>
      <c r="B58" s="290"/>
      <c r="C58" s="259"/>
      <c r="D58" s="290"/>
      <c r="E58" s="290">
        <v>0.57999999999999996</v>
      </c>
      <c r="F58" s="259">
        <f t="shared" si="4"/>
        <v>0.26086956521739113</v>
      </c>
      <c r="G58" s="290">
        <v>0.46</v>
      </c>
      <c r="H58" s="290">
        <v>1.36</v>
      </c>
      <c r="I58" s="300">
        <f t="shared" si="5"/>
        <v>-0.28042328042328035</v>
      </c>
      <c r="J58" s="290">
        <v>1.89</v>
      </c>
      <c r="K58" s="259"/>
      <c r="L58" s="272"/>
      <c r="M58" s="259"/>
      <c r="N58" s="273"/>
      <c r="O58" s="18"/>
      <c r="P58" s="89"/>
      <c r="Q58" s="176"/>
      <c r="R58" s="133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1:29" s="4" customFormat="1" ht="10.199999999999999">
      <c r="A59" s="270" t="s">
        <v>120</v>
      </c>
      <c r="B59" s="290"/>
      <c r="C59" s="259"/>
      <c r="D59" s="290"/>
      <c r="E59" s="290">
        <v>-0.08</v>
      </c>
      <c r="F59" s="259" t="str">
        <f t="shared" si="4"/>
        <v>n.m.</v>
      </c>
      <c r="G59" s="290">
        <v>0.14000000000000001</v>
      </c>
      <c r="H59" s="290">
        <v>0.27</v>
      </c>
      <c r="I59" s="300">
        <f t="shared" si="5"/>
        <v>3.8461538461538547E-2</v>
      </c>
      <c r="J59" s="290">
        <v>0.26</v>
      </c>
      <c r="K59" s="259"/>
      <c r="L59" s="272"/>
      <c r="M59" s="259"/>
      <c r="N59" s="273"/>
      <c r="O59" s="18"/>
      <c r="P59" s="89"/>
      <c r="Q59" s="176"/>
      <c r="R59" s="133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s="13" customFormat="1" ht="10.199999999999999">
      <c r="A60" s="270" t="s">
        <v>121</v>
      </c>
      <c r="B60" s="290"/>
      <c r="C60" s="259"/>
      <c r="D60" s="290"/>
      <c r="E60" s="290">
        <v>0.5</v>
      </c>
      <c r="F60" s="259"/>
      <c r="G60" s="290">
        <v>0</v>
      </c>
      <c r="H60" s="290">
        <v>0.49</v>
      </c>
      <c r="I60" s="300">
        <f t="shared" si="5"/>
        <v>4.4444444444444446</v>
      </c>
      <c r="J60" s="290">
        <v>0.09</v>
      </c>
      <c r="K60" s="259"/>
      <c r="L60" s="272"/>
      <c r="M60" s="259"/>
      <c r="N60" s="273"/>
      <c r="O60" s="18"/>
      <c r="P60" s="89"/>
      <c r="Q60" s="176"/>
      <c r="R60" s="133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1:29" s="13" customFormat="1" ht="10.199999999999999">
      <c r="A61" s="270" t="s">
        <v>122</v>
      </c>
      <c r="B61" s="290"/>
      <c r="C61" s="259"/>
      <c r="D61" s="290"/>
      <c r="E61" s="290">
        <v>0.16</v>
      </c>
      <c r="F61" s="259">
        <f t="shared" si="4"/>
        <v>0.59999999999999987</v>
      </c>
      <c r="G61" s="290">
        <v>0.1</v>
      </c>
      <c r="H61" s="290">
        <v>0.84</v>
      </c>
      <c r="I61" s="300">
        <f t="shared" si="5"/>
        <v>15.799999999999997</v>
      </c>
      <c r="J61" s="290">
        <v>0.05</v>
      </c>
      <c r="K61" s="259"/>
      <c r="L61" s="272"/>
      <c r="M61" s="259"/>
      <c r="N61" s="273"/>
      <c r="O61" s="18"/>
      <c r="P61" s="89"/>
      <c r="Q61" s="176"/>
      <c r="R61" s="133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1:29" s="13" customFormat="1" ht="10.199999999999999">
      <c r="A62" s="270" t="s">
        <v>123</v>
      </c>
      <c r="B62" s="290"/>
      <c r="C62" s="259"/>
      <c r="D62" s="290"/>
      <c r="E62" s="290">
        <v>0.23</v>
      </c>
      <c r="F62" s="259"/>
      <c r="G62" s="290">
        <v>0</v>
      </c>
      <c r="H62" s="290">
        <v>0.01</v>
      </c>
      <c r="I62" s="300"/>
      <c r="J62" s="290">
        <v>0</v>
      </c>
      <c r="K62" s="259"/>
      <c r="L62" s="272"/>
      <c r="M62" s="259"/>
      <c r="N62" s="273"/>
      <c r="O62" s="18"/>
      <c r="P62" s="89"/>
      <c r="Q62" s="176"/>
      <c r="R62" s="133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 s="13" customFormat="1" ht="10.199999999999999">
      <c r="A63" s="270" t="s">
        <v>124</v>
      </c>
      <c r="B63" s="290"/>
      <c r="C63" s="259"/>
      <c r="D63" s="290"/>
      <c r="E63" s="290">
        <v>0.08</v>
      </c>
      <c r="F63" s="259">
        <f t="shared" si="4"/>
        <v>-0.33333333333333326</v>
      </c>
      <c r="G63" s="290">
        <v>0.12</v>
      </c>
      <c r="H63" s="290">
        <v>0.25</v>
      </c>
      <c r="I63" s="300">
        <f t="shared" si="5"/>
        <v>0.66666666666666674</v>
      </c>
      <c r="J63" s="290">
        <v>0.15</v>
      </c>
      <c r="K63" s="277"/>
      <c r="L63" s="272"/>
      <c r="M63" s="277"/>
      <c r="N63" s="273"/>
      <c r="O63" s="93"/>
      <c r="P63" s="94"/>
      <c r="Q63" s="181"/>
      <c r="R63" s="133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 s="13" customFormat="1" ht="10.199999999999999">
      <c r="A64" s="270" t="s">
        <v>125</v>
      </c>
      <c r="B64" s="292"/>
      <c r="C64" s="259"/>
      <c r="D64" s="292"/>
      <c r="E64" s="292">
        <v>1.03</v>
      </c>
      <c r="F64" s="259"/>
      <c r="G64" s="292">
        <v>0</v>
      </c>
      <c r="H64" s="292">
        <v>0.12</v>
      </c>
      <c r="I64" s="300">
        <f t="shared" si="5"/>
        <v>0.19999999999999996</v>
      </c>
      <c r="J64" s="292">
        <v>0.1</v>
      </c>
      <c r="K64" s="259"/>
      <c r="L64" s="279"/>
      <c r="M64" s="259"/>
      <c r="N64" s="278"/>
      <c r="O64" s="16"/>
      <c r="P64" s="89"/>
      <c r="Q64" s="16"/>
      <c r="R64" s="8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 s="13" customFormat="1" ht="10.199999999999999">
      <c r="A65" s="270" t="s">
        <v>126</v>
      </c>
      <c r="B65" s="292"/>
      <c r="C65" s="259"/>
      <c r="D65" s="292"/>
      <c r="E65" s="292">
        <v>0.05</v>
      </c>
      <c r="F65" s="259">
        <f t="shared" si="4"/>
        <v>0</v>
      </c>
      <c r="G65" s="292">
        <v>0.05</v>
      </c>
      <c r="H65" s="292">
        <v>0.45</v>
      </c>
      <c r="I65" s="300">
        <f t="shared" si="5"/>
        <v>0.18421052631578938</v>
      </c>
      <c r="J65" s="292">
        <v>0.38</v>
      </c>
      <c r="K65" s="259"/>
      <c r="L65" s="279"/>
      <c r="M65" s="259"/>
      <c r="N65" s="278"/>
      <c r="O65" s="16"/>
      <c r="P65" s="89"/>
      <c r="Q65" s="16"/>
      <c r="R65" s="8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 s="13" customFormat="1" ht="10.199999999999999">
      <c r="A66" s="276" t="s">
        <v>105</v>
      </c>
      <c r="B66" s="293"/>
      <c r="C66" s="259"/>
      <c r="D66" s="293"/>
      <c r="E66" s="293">
        <f>E44</f>
        <v>26.76</v>
      </c>
      <c r="F66" s="259">
        <f t="shared" ref="F66:F71" si="6">IF((+E66/G66)&lt;0,"n.m.",IF(E66&lt;0,(+E66/G66-1)*-1,(+E66/G66-1)))</f>
        <v>0.11919698870765383</v>
      </c>
      <c r="G66" s="293">
        <f>G44</f>
        <v>23.91</v>
      </c>
      <c r="H66" s="293">
        <f>H44</f>
        <v>54.63</v>
      </c>
      <c r="I66" s="300">
        <f t="shared" si="5"/>
        <v>-3.4805653710247353E-2</v>
      </c>
      <c r="J66" s="293">
        <f>J44</f>
        <v>56.6</v>
      </c>
      <c r="K66" s="259"/>
      <c r="L66" s="281"/>
      <c r="M66" s="259"/>
      <c r="N66" s="278"/>
      <c r="O66" s="18"/>
      <c r="P66" s="89"/>
      <c r="Q66" s="176"/>
      <c r="R66" s="8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 s="13" customFormat="1" ht="10.199999999999999">
      <c r="A67" s="276" t="s">
        <v>106</v>
      </c>
      <c r="B67" s="293"/>
      <c r="C67" s="259"/>
      <c r="D67" s="293"/>
      <c r="E67" s="293">
        <f>E45</f>
        <v>18.62</v>
      </c>
      <c r="F67" s="259">
        <f t="shared" si="6"/>
        <v>0.36811168258633375</v>
      </c>
      <c r="G67" s="293">
        <f>G45</f>
        <v>13.61</v>
      </c>
      <c r="H67" s="293">
        <f>H45</f>
        <v>36.11</v>
      </c>
      <c r="I67" s="300">
        <f t="shared" si="5"/>
        <v>9.5051719317862382E-3</v>
      </c>
      <c r="J67" s="293">
        <f>J45</f>
        <v>35.770000000000003</v>
      </c>
      <c r="K67" s="259"/>
      <c r="L67" s="281"/>
      <c r="M67" s="259"/>
      <c r="N67" s="278"/>
      <c r="O67" s="18"/>
      <c r="P67" s="89"/>
      <c r="Q67" s="176"/>
      <c r="R67" s="8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 s="4" customFormat="1" ht="10.199999999999999">
      <c r="A68" s="276" t="s">
        <v>127</v>
      </c>
      <c r="B68" s="291"/>
      <c r="C68" s="259"/>
      <c r="D68" s="291"/>
      <c r="E68" s="291">
        <f>E46+E47+E48+E49+E50+E51+E52+E53+E54+E55</f>
        <v>17.849999999999998</v>
      </c>
      <c r="F68" s="259">
        <f t="shared" si="6"/>
        <v>0.34109691960931632</v>
      </c>
      <c r="G68" s="291">
        <f>G46+G47+G48+G49+G50+G51+G52+G53+G54+G55</f>
        <v>13.309999999999999</v>
      </c>
      <c r="H68" s="291">
        <f>H46+H47+H48+H49+H50+H51+H52+H53+H54+H55</f>
        <v>32.129999999999995</v>
      </c>
      <c r="I68" s="300">
        <f t="shared" si="5"/>
        <v>-0.10576120233787911</v>
      </c>
      <c r="J68" s="291">
        <f>J46+J47+J48+J49+J50+J51+J52+J53+J54+J55</f>
        <v>35.929999999999993</v>
      </c>
      <c r="K68" s="259"/>
      <c r="L68" s="275"/>
      <c r="M68" s="259"/>
      <c r="N68" s="282"/>
      <c r="O68" s="18"/>
      <c r="P68" s="33"/>
      <c r="Q68" s="176"/>
      <c r="R68" s="33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  <row r="69" spans="1:29" s="4" customFormat="1" ht="10.199999999999999">
      <c r="A69" s="276" t="s">
        <v>128</v>
      </c>
      <c r="B69" s="291"/>
      <c r="C69" s="259"/>
      <c r="D69" s="291"/>
      <c r="E69" s="291">
        <f>E56+E57+E58+E59+E60+E61</f>
        <v>3.04</v>
      </c>
      <c r="F69" s="259">
        <f t="shared" si="6"/>
        <v>-0.28638497652582151</v>
      </c>
      <c r="G69" s="291">
        <f>G56+G57+G58+G59+G60+G61</f>
        <v>4.26</v>
      </c>
      <c r="H69" s="291">
        <f>H56+H57+H58+H59+H60+H61</f>
        <v>8.91</v>
      </c>
      <c r="I69" s="300">
        <f t="shared" si="5"/>
        <v>0.22727272727272751</v>
      </c>
      <c r="J69" s="291">
        <f>J56+J57+J58+J59+J60+J61</f>
        <v>7.2599999999999989</v>
      </c>
      <c r="K69" s="259"/>
      <c r="L69" s="275"/>
      <c r="M69" s="259"/>
      <c r="N69" s="282"/>
      <c r="O69" s="18"/>
      <c r="P69" s="33"/>
      <c r="Q69" s="176"/>
      <c r="R69" s="33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spans="1:29" s="13" customFormat="1" ht="10.199999999999999">
      <c r="A70" s="276" t="s">
        <v>129</v>
      </c>
      <c r="B70" s="291"/>
      <c r="C70" s="259"/>
      <c r="D70" s="291"/>
      <c r="E70" s="291">
        <f>E62+E63+E64+E65</f>
        <v>1.3900000000000001</v>
      </c>
      <c r="F70" s="259">
        <f t="shared" si="6"/>
        <v>7.1764705882352953</v>
      </c>
      <c r="G70" s="291">
        <f>G62+G63+G64+G65</f>
        <v>0.16999999999999998</v>
      </c>
      <c r="H70" s="291">
        <f>H62+H63+H64+H65</f>
        <v>0.83000000000000007</v>
      </c>
      <c r="I70" s="300">
        <f t="shared" si="5"/>
        <v>0.31746031746031766</v>
      </c>
      <c r="J70" s="291">
        <f>J62+J63+J64+J65</f>
        <v>0.63</v>
      </c>
      <c r="K70" s="259"/>
      <c r="L70" s="275"/>
      <c r="M70" s="259"/>
      <c r="N70" s="282"/>
      <c r="O70" s="18"/>
      <c r="P70" s="33"/>
      <c r="Q70" s="176"/>
      <c r="R70" s="33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 s="165" customFormat="1" ht="10.199999999999999" customHeight="1">
      <c r="A71" s="283" t="s">
        <v>133</v>
      </c>
      <c r="B71" s="294"/>
      <c r="C71" s="251"/>
      <c r="D71" s="294"/>
      <c r="E71" s="294">
        <f>SUM(E66:E70)</f>
        <v>67.660000000000011</v>
      </c>
      <c r="F71" s="251">
        <f t="shared" si="6"/>
        <v>0.22439377488237455</v>
      </c>
      <c r="G71" s="294">
        <f>SUM(G66:G70)</f>
        <v>55.26</v>
      </c>
      <c r="H71" s="294">
        <f>SUM(H66:H70)</f>
        <v>132.61000000000001</v>
      </c>
      <c r="I71" s="301">
        <f t="shared" si="5"/>
        <v>-2.6286805198619478E-2</v>
      </c>
      <c r="J71" s="294">
        <f>SUM(J66:J70)</f>
        <v>136.19</v>
      </c>
      <c r="K71" s="251">
        <f>(J71-L71)/L71</f>
        <v>9.1003765120563962E-2</v>
      </c>
      <c r="L71" s="294">
        <v>124.83</v>
      </c>
      <c r="M71" s="251">
        <v>-0.25345374080497574</v>
      </c>
      <c r="N71" s="294">
        <v>167.20999999999998</v>
      </c>
    </row>
    <row r="72" spans="1:29" ht="10.199999999999999" customHeight="1">
      <c r="A72" s="270"/>
      <c r="B72" s="276"/>
      <c r="C72" s="259"/>
      <c r="D72" s="276"/>
      <c r="E72" s="276"/>
      <c r="F72" s="259"/>
      <c r="G72" s="276"/>
      <c r="H72" s="276"/>
      <c r="I72" s="257"/>
      <c r="J72" s="276"/>
      <c r="K72" s="257"/>
      <c r="L72" s="276"/>
      <c r="M72" s="252"/>
      <c r="N72" s="276"/>
    </row>
    <row r="73" spans="1:29" ht="10.199999999999999" customHeight="1">
      <c r="A73" s="295" t="s">
        <v>5</v>
      </c>
      <c r="B73" s="296"/>
      <c r="C73" s="259"/>
      <c r="D73" s="296"/>
      <c r="E73" s="296"/>
      <c r="F73" s="259"/>
      <c r="G73" s="296"/>
      <c r="H73" s="296"/>
      <c r="I73" s="257"/>
      <c r="J73" s="296"/>
      <c r="K73" s="257"/>
      <c r="L73" s="296"/>
      <c r="M73" s="257"/>
      <c r="N73" s="296"/>
    </row>
    <row r="74" spans="1:29" s="4" customFormat="1" ht="10.199999999999999">
      <c r="A74" s="270" t="s">
        <v>105</v>
      </c>
      <c r="B74" s="290"/>
      <c r="C74" s="259"/>
      <c r="D74" s="290"/>
      <c r="E74" s="290">
        <v>8.65</v>
      </c>
      <c r="F74" s="259">
        <f t="shared" ref="F74:F91" si="7">IF((+E74/G74)&lt;0,"n.m.",IF(E74&lt;0,(+E74/G74-1)*-1,(+E74/G74-1)))</f>
        <v>0.2795857988165682</v>
      </c>
      <c r="G74" s="290">
        <v>6.76</v>
      </c>
      <c r="H74" s="290">
        <v>5.74</v>
      </c>
      <c r="I74" s="300">
        <f t="shared" ref="I74:I101" si="8">IF((+H74/J74)&lt;0,"n.m.",IF(H74&lt;0,(+H74/J74-1)*-1,(+H74/J74-1)))</f>
        <v>-0.28960396039603964</v>
      </c>
      <c r="J74" s="290">
        <v>8.08</v>
      </c>
      <c r="K74" s="259"/>
      <c r="L74" s="272"/>
      <c r="M74" s="259"/>
      <c r="N74" s="273"/>
      <c r="O74" s="18"/>
      <c r="P74" s="89"/>
      <c r="Q74" s="176"/>
      <c r="R74" s="133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</row>
    <row r="75" spans="1:29" s="4" customFormat="1" ht="10.199999999999999">
      <c r="A75" s="270" t="s">
        <v>106</v>
      </c>
      <c r="B75" s="290"/>
      <c r="C75" s="259"/>
      <c r="D75" s="290"/>
      <c r="E75" s="290">
        <v>0.37</v>
      </c>
      <c r="F75" s="259">
        <f t="shared" si="7"/>
        <v>-0.7153846153846154</v>
      </c>
      <c r="G75" s="290">
        <v>1.3</v>
      </c>
      <c r="H75" s="290">
        <v>0.63</v>
      </c>
      <c r="I75" s="300">
        <f t="shared" si="8"/>
        <v>-0.50393700787401574</v>
      </c>
      <c r="J75" s="290">
        <v>1.27</v>
      </c>
      <c r="K75" s="259"/>
      <c r="L75" s="272"/>
      <c r="M75" s="259"/>
      <c r="N75" s="273"/>
      <c r="O75" s="18"/>
      <c r="P75" s="89"/>
      <c r="Q75" s="176"/>
      <c r="R75" s="133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spans="1:29" s="4" customFormat="1" ht="10.199999999999999">
      <c r="A76" s="270" t="s">
        <v>107</v>
      </c>
      <c r="B76" s="290"/>
      <c r="C76" s="259"/>
      <c r="D76" s="290"/>
      <c r="E76" s="290">
        <v>0.43</v>
      </c>
      <c r="F76" s="259">
        <f t="shared" si="7"/>
        <v>0.13157894736842102</v>
      </c>
      <c r="G76" s="290">
        <v>0.38</v>
      </c>
      <c r="H76" s="290">
        <v>0.4</v>
      </c>
      <c r="I76" s="300">
        <f t="shared" si="8"/>
        <v>0.29032258064516148</v>
      </c>
      <c r="J76" s="290">
        <v>0.31</v>
      </c>
      <c r="K76" s="259"/>
      <c r="L76" s="272"/>
      <c r="M76" s="259"/>
      <c r="N76" s="273"/>
      <c r="O76" s="18"/>
      <c r="P76" s="89"/>
      <c r="Q76" s="176"/>
      <c r="R76" s="133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</row>
    <row r="77" spans="1:29" s="4" customFormat="1" ht="10.199999999999999">
      <c r="A77" s="270" t="s">
        <v>108</v>
      </c>
      <c r="B77" s="290"/>
      <c r="C77" s="259"/>
      <c r="D77" s="290"/>
      <c r="E77" s="290">
        <v>0.42</v>
      </c>
      <c r="F77" s="259">
        <f t="shared" si="7"/>
        <v>2.4390243902439046E-2</v>
      </c>
      <c r="G77" s="290">
        <v>0.41</v>
      </c>
      <c r="H77" s="290">
        <v>0.4</v>
      </c>
      <c r="I77" s="300">
        <f t="shared" si="8"/>
        <v>-2.4390243902438935E-2</v>
      </c>
      <c r="J77" s="290">
        <v>0.41</v>
      </c>
      <c r="K77" s="259"/>
      <c r="L77" s="272"/>
      <c r="M77" s="259"/>
      <c r="N77" s="273"/>
      <c r="O77" s="18"/>
      <c r="P77" s="89"/>
      <c r="Q77" s="176"/>
      <c r="R77" s="133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</row>
    <row r="78" spans="1:29" s="13" customFormat="1" ht="10.199999999999999">
      <c r="A78" s="270" t="s">
        <v>109</v>
      </c>
      <c r="B78" s="290"/>
      <c r="C78" s="259"/>
      <c r="D78" s="290"/>
      <c r="E78" s="290">
        <v>0</v>
      </c>
      <c r="F78" s="259"/>
      <c r="G78" s="290">
        <v>0</v>
      </c>
      <c r="H78" s="290">
        <v>0</v>
      </c>
      <c r="I78" s="300"/>
      <c r="J78" s="290">
        <v>0</v>
      </c>
      <c r="K78" s="259"/>
      <c r="L78" s="272"/>
      <c r="M78" s="259"/>
      <c r="N78" s="273"/>
      <c r="O78" s="18"/>
      <c r="P78" s="89"/>
      <c r="Q78" s="176"/>
      <c r="R78" s="133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 s="13" customFormat="1" ht="10.199999999999999">
      <c r="A79" s="270" t="s">
        <v>110</v>
      </c>
      <c r="B79" s="290"/>
      <c r="C79" s="259"/>
      <c r="D79" s="290"/>
      <c r="E79" s="290">
        <v>0</v>
      </c>
      <c r="F79" s="259"/>
      <c r="G79" s="290">
        <v>0</v>
      </c>
      <c r="H79" s="290">
        <v>0</v>
      </c>
      <c r="I79" s="300"/>
      <c r="J79" s="290">
        <v>0</v>
      </c>
      <c r="K79" s="259"/>
      <c r="L79" s="272"/>
      <c r="M79" s="259"/>
      <c r="N79" s="273"/>
      <c r="O79" s="18"/>
      <c r="P79" s="89"/>
      <c r="Q79" s="176"/>
      <c r="R79" s="133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 s="13" customFormat="1" ht="10.199999999999999">
      <c r="A80" s="270" t="s">
        <v>111</v>
      </c>
      <c r="B80" s="290"/>
      <c r="C80" s="259"/>
      <c r="D80" s="290"/>
      <c r="E80" s="290">
        <v>0.09</v>
      </c>
      <c r="F80" s="259">
        <f t="shared" si="7"/>
        <v>-0.10000000000000009</v>
      </c>
      <c r="G80" s="290">
        <v>0.1</v>
      </c>
      <c r="H80" s="290">
        <v>0.13</v>
      </c>
      <c r="I80" s="300">
        <f t="shared" si="8"/>
        <v>0.30000000000000004</v>
      </c>
      <c r="J80" s="290">
        <v>0.1</v>
      </c>
      <c r="K80" s="259"/>
      <c r="L80" s="272"/>
      <c r="M80" s="259"/>
      <c r="N80" s="273"/>
      <c r="O80" s="18"/>
      <c r="P80" s="89"/>
      <c r="Q80" s="176"/>
      <c r="R80" s="133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 s="13" customFormat="1" ht="10.199999999999999">
      <c r="A81" s="270" t="s">
        <v>112</v>
      </c>
      <c r="B81" s="290"/>
      <c r="C81" s="259"/>
      <c r="D81" s="290"/>
      <c r="E81" s="290">
        <v>0.02</v>
      </c>
      <c r="F81" s="259">
        <f t="shared" si="7"/>
        <v>1</v>
      </c>
      <c r="G81" s="290">
        <v>0.01</v>
      </c>
      <c r="H81" s="290">
        <v>0.01</v>
      </c>
      <c r="I81" s="300">
        <f t="shared" si="8"/>
        <v>0</v>
      </c>
      <c r="J81" s="290">
        <v>0.01</v>
      </c>
      <c r="K81" s="259"/>
      <c r="L81" s="272"/>
      <c r="M81" s="259"/>
      <c r="N81" s="273"/>
      <c r="O81" s="18"/>
      <c r="P81" s="89"/>
      <c r="Q81" s="176"/>
      <c r="R81" s="133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 s="13" customFormat="1" ht="10.199999999999999">
      <c r="A82" s="270" t="s">
        <v>113</v>
      </c>
      <c r="B82" s="290"/>
      <c r="C82" s="259"/>
      <c r="D82" s="290"/>
      <c r="E82" s="290">
        <v>0</v>
      </c>
      <c r="F82" s="259"/>
      <c r="G82" s="290">
        <v>0</v>
      </c>
      <c r="H82" s="290">
        <v>0.01</v>
      </c>
      <c r="I82" s="300"/>
      <c r="J82" s="290">
        <v>0</v>
      </c>
      <c r="K82" s="259"/>
      <c r="L82" s="272"/>
      <c r="M82" s="259"/>
      <c r="N82" s="273"/>
      <c r="O82" s="18"/>
      <c r="P82" s="89"/>
      <c r="Q82" s="176"/>
      <c r="R82" s="133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 s="13" customFormat="1" ht="10.199999999999999">
      <c r="A83" s="270" t="s">
        <v>114</v>
      </c>
      <c r="B83" s="290"/>
      <c r="C83" s="259"/>
      <c r="D83" s="290"/>
      <c r="E83" s="290">
        <v>0</v>
      </c>
      <c r="F83" s="259"/>
      <c r="G83" s="290">
        <v>0</v>
      </c>
      <c r="H83" s="290">
        <v>0</v>
      </c>
      <c r="I83" s="300"/>
      <c r="J83" s="290">
        <v>0</v>
      </c>
      <c r="K83" s="259"/>
      <c r="L83" s="272"/>
      <c r="M83" s="259"/>
      <c r="N83" s="273"/>
      <c r="O83" s="18"/>
      <c r="P83" s="89"/>
      <c r="Q83" s="176"/>
      <c r="R83" s="133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 s="13" customFormat="1" ht="10.199999999999999">
      <c r="A84" s="270" t="s">
        <v>115</v>
      </c>
      <c r="B84" s="290"/>
      <c r="C84" s="259"/>
      <c r="D84" s="290"/>
      <c r="E84" s="290">
        <v>0</v>
      </c>
      <c r="F84" s="259"/>
      <c r="G84" s="290">
        <v>0</v>
      </c>
      <c r="H84" s="290">
        <v>0</v>
      </c>
      <c r="I84" s="300"/>
      <c r="J84" s="290">
        <v>0</v>
      </c>
      <c r="K84" s="259"/>
      <c r="L84" s="272"/>
      <c r="M84" s="259"/>
      <c r="N84" s="273"/>
      <c r="O84" s="18"/>
      <c r="P84" s="89"/>
      <c r="Q84" s="176"/>
      <c r="R84" s="133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 s="13" customFormat="1" ht="10.199999999999999">
      <c r="A85" s="270" t="s">
        <v>116</v>
      </c>
      <c r="B85" s="290"/>
      <c r="C85" s="259"/>
      <c r="D85" s="290"/>
      <c r="E85" s="290">
        <v>0</v>
      </c>
      <c r="F85" s="259"/>
      <c r="G85" s="290">
        <v>0</v>
      </c>
      <c r="H85" s="290">
        <v>0</v>
      </c>
      <c r="I85" s="300"/>
      <c r="J85" s="290">
        <v>0</v>
      </c>
      <c r="K85" s="259"/>
      <c r="L85" s="272"/>
      <c r="M85" s="259"/>
      <c r="N85" s="273"/>
      <c r="O85" s="18"/>
      <c r="P85" s="89"/>
      <c r="Q85" s="176"/>
      <c r="R85" s="133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 s="13" customFormat="1" ht="10.199999999999999">
      <c r="A86" s="270" t="s">
        <v>117</v>
      </c>
      <c r="B86" s="290"/>
      <c r="C86" s="259"/>
      <c r="D86" s="290"/>
      <c r="E86" s="290">
        <v>0.47</v>
      </c>
      <c r="F86" s="259">
        <f t="shared" si="7"/>
        <v>0.62068965517241392</v>
      </c>
      <c r="G86" s="290">
        <v>0.28999999999999998</v>
      </c>
      <c r="H86" s="290">
        <v>0</v>
      </c>
      <c r="I86" s="300">
        <f t="shared" si="8"/>
        <v>-1</v>
      </c>
      <c r="J86" s="290">
        <v>0.26</v>
      </c>
      <c r="K86" s="259"/>
      <c r="L86" s="272"/>
      <c r="M86" s="259"/>
      <c r="N86" s="273"/>
      <c r="O86" s="18"/>
      <c r="P86" s="89"/>
      <c r="Q86" s="176"/>
      <c r="R86" s="133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 s="13" customFormat="1" ht="10.199999999999999">
      <c r="A87" s="270" t="s">
        <v>118</v>
      </c>
      <c r="B87" s="291"/>
      <c r="C87" s="259"/>
      <c r="D87" s="291"/>
      <c r="E87" s="291">
        <v>0</v>
      </c>
      <c r="F87" s="259"/>
      <c r="G87" s="291">
        <v>0</v>
      </c>
      <c r="H87" s="291">
        <v>0</v>
      </c>
      <c r="I87" s="300"/>
      <c r="J87" s="291">
        <v>0</v>
      </c>
      <c r="K87" s="259"/>
      <c r="L87" s="275"/>
      <c r="M87" s="259"/>
      <c r="N87" s="276"/>
      <c r="O87" s="18"/>
      <c r="P87" s="89"/>
      <c r="Q87" s="176"/>
      <c r="R87" s="133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 s="13" customFormat="1" ht="10.199999999999999">
      <c r="A88" s="270" t="s">
        <v>119</v>
      </c>
      <c r="B88" s="290"/>
      <c r="C88" s="259"/>
      <c r="D88" s="290"/>
      <c r="E88" s="290">
        <v>0.22</v>
      </c>
      <c r="F88" s="259">
        <f t="shared" si="7"/>
        <v>-4.3478260869565299E-2</v>
      </c>
      <c r="G88" s="290">
        <v>0.23</v>
      </c>
      <c r="H88" s="290">
        <v>0.22</v>
      </c>
      <c r="I88" s="300">
        <f t="shared" si="8"/>
        <v>0.69230769230769229</v>
      </c>
      <c r="J88" s="290">
        <v>0.13</v>
      </c>
      <c r="K88" s="259"/>
      <c r="L88" s="272"/>
      <c r="M88" s="259"/>
      <c r="N88" s="273"/>
      <c r="O88" s="18"/>
      <c r="P88" s="89"/>
      <c r="Q88" s="176"/>
      <c r="R88" s="133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 s="4" customFormat="1" ht="10.199999999999999">
      <c r="A89" s="270" t="s">
        <v>120</v>
      </c>
      <c r="B89" s="290"/>
      <c r="C89" s="259"/>
      <c r="D89" s="290"/>
      <c r="E89" s="290">
        <v>0</v>
      </c>
      <c r="F89" s="259"/>
      <c r="G89" s="290">
        <v>0</v>
      </c>
      <c r="H89" s="290">
        <v>0</v>
      </c>
      <c r="I89" s="300"/>
      <c r="J89" s="290">
        <v>0</v>
      </c>
      <c r="K89" s="259"/>
      <c r="L89" s="272"/>
      <c r="M89" s="259"/>
      <c r="N89" s="273"/>
      <c r="O89" s="18"/>
      <c r="P89" s="89"/>
      <c r="Q89" s="176"/>
      <c r="R89" s="133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</row>
    <row r="90" spans="1:29" s="13" customFormat="1" ht="10.199999999999999">
      <c r="A90" s="270" t="s">
        <v>121</v>
      </c>
      <c r="B90" s="290"/>
      <c r="C90" s="259"/>
      <c r="D90" s="290"/>
      <c r="E90" s="290">
        <v>0</v>
      </c>
      <c r="F90" s="259"/>
      <c r="G90" s="290">
        <v>0</v>
      </c>
      <c r="H90" s="290">
        <v>0</v>
      </c>
      <c r="I90" s="300"/>
      <c r="J90" s="290">
        <v>0</v>
      </c>
      <c r="K90" s="259"/>
      <c r="L90" s="272"/>
      <c r="M90" s="259"/>
      <c r="N90" s="273"/>
      <c r="O90" s="18"/>
      <c r="P90" s="89"/>
      <c r="Q90" s="176"/>
      <c r="R90" s="133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 s="13" customFormat="1" ht="10.199999999999999">
      <c r="A91" s="270" t="s">
        <v>122</v>
      </c>
      <c r="B91" s="290"/>
      <c r="C91" s="259"/>
      <c r="D91" s="290"/>
      <c r="E91" s="290">
        <v>0</v>
      </c>
      <c r="F91" s="259">
        <f t="shared" si="7"/>
        <v>-1</v>
      </c>
      <c r="G91" s="290">
        <v>0.25</v>
      </c>
      <c r="H91" s="290">
        <v>0</v>
      </c>
      <c r="I91" s="300"/>
      <c r="J91" s="290">
        <v>0</v>
      </c>
      <c r="K91" s="259"/>
      <c r="L91" s="272"/>
      <c r="M91" s="259"/>
      <c r="N91" s="273"/>
      <c r="O91" s="18"/>
      <c r="P91" s="89"/>
      <c r="Q91" s="176"/>
      <c r="R91" s="133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 s="13" customFormat="1" ht="10.199999999999999">
      <c r="A92" s="270" t="s">
        <v>123</v>
      </c>
      <c r="B92" s="290"/>
      <c r="C92" s="259"/>
      <c r="D92" s="290"/>
      <c r="E92" s="290">
        <v>0.56999999999999995</v>
      </c>
      <c r="F92" s="259"/>
      <c r="G92" s="290">
        <v>0</v>
      </c>
      <c r="H92" s="290">
        <v>0</v>
      </c>
      <c r="I92" s="300"/>
      <c r="J92" s="290">
        <v>0</v>
      </c>
      <c r="K92" s="259"/>
      <c r="L92" s="272"/>
      <c r="M92" s="259"/>
      <c r="N92" s="273"/>
      <c r="O92" s="18"/>
      <c r="P92" s="89"/>
      <c r="Q92" s="176"/>
      <c r="R92" s="133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 s="13" customFormat="1" ht="10.199999999999999">
      <c r="A93" s="270" t="s">
        <v>124</v>
      </c>
      <c r="B93" s="290"/>
      <c r="C93" s="259"/>
      <c r="D93" s="290"/>
      <c r="E93" s="290">
        <v>0</v>
      </c>
      <c r="F93" s="259"/>
      <c r="G93" s="290">
        <v>0</v>
      </c>
      <c r="H93" s="290">
        <v>0</v>
      </c>
      <c r="I93" s="300">
        <f t="shared" si="8"/>
        <v>-1</v>
      </c>
      <c r="J93" s="290">
        <v>0.05</v>
      </c>
      <c r="K93" s="277"/>
      <c r="L93" s="272"/>
      <c r="M93" s="277"/>
      <c r="N93" s="273"/>
      <c r="O93" s="93"/>
      <c r="P93" s="94"/>
      <c r="Q93" s="181"/>
      <c r="R93" s="133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 s="13" customFormat="1" ht="10.199999999999999">
      <c r="A94" s="270" t="s">
        <v>125</v>
      </c>
      <c r="B94" s="292"/>
      <c r="C94" s="259"/>
      <c r="D94" s="292"/>
      <c r="E94" s="292">
        <v>0</v>
      </c>
      <c r="F94" s="259"/>
      <c r="G94" s="292">
        <v>0</v>
      </c>
      <c r="H94" s="292">
        <v>0</v>
      </c>
      <c r="I94" s="300"/>
      <c r="J94" s="292">
        <v>0</v>
      </c>
      <c r="K94" s="259"/>
      <c r="L94" s="279"/>
      <c r="M94" s="259"/>
      <c r="N94" s="278"/>
      <c r="O94" s="16"/>
      <c r="P94" s="89"/>
      <c r="Q94" s="16"/>
      <c r="R94" s="8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 s="13" customFormat="1" ht="10.199999999999999">
      <c r="A95" s="270" t="s">
        <v>126</v>
      </c>
      <c r="B95" s="292"/>
      <c r="C95" s="259"/>
      <c r="D95" s="292"/>
      <c r="E95" s="292">
        <v>0</v>
      </c>
      <c r="F95" s="259">
        <f t="shared" ref="F95:F101" si="9">IF((+E95/G95)&lt;0,"n.m.",IF(E95&lt;0,(+E95/G95-1)*-1,(+E95/G95-1)))</f>
        <v>-1</v>
      </c>
      <c r="G95" s="292">
        <v>0.02</v>
      </c>
      <c r="H95" s="292">
        <v>0</v>
      </c>
      <c r="I95" s="300">
        <f t="shared" si="8"/>
        <v>-1</v>
      </c>
      <c r="J95" s="292">
        <v>0.04</v>
      </c>
      <c r="K95" s="259"/>
      <c r="L95" s="279"/>
      <c r="M95" s="259"/>
      <c r="N95" s="278"/>
      <c r="O95" s="16"/>
      <c r="P95" s="89"/>
      <c r="Q95" s="16"/>
      <c r="R95" s="8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 s="13" customFormat="1" ht="10.199999999999999">
      <c r="A96" s="276" t="s">
        <v>105</v>
      </c>
      <c r="B96" s="293"/>
      <c r="C96" s="259"/>
      <c r="D96" s="293"/>
      <c r="E96" s="293">
        <f>E74</f>
        <v>8.65</v>
      </c>
      <c r="F96" s="259">
        <f t="shared" si="9"/>
        <v>0.2795857988165682</v>
      </c>
      <c r="G96" s="293">
        <f>G74</f>
        <v>6.76</v>
      </c>
      <c r="H96" s="293">
        <f>H74</f>
        <v>5.74</v>
      </c>
      <c r="I96" s="300">
        <f t="shared" si="8"/>
        <v>-0.28960396039603964</v>
      </c>
      <c r="J96" s="293">
        <f>J74</f>
        <v>8.08</v>
      </c>
      <c r="K96" s="259"/>
      <c r="L96" s="281"/>
      <c r="M96" s="259"/>
      <c r="N96" s="278"/>
      <c r="O96" s="18"/>
      <c r="P96" s="89"/>
      <c r="Q96" s="176"/>
      <c r="R96" s="8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 s="13" customFormat="1" ht="10.199999999999999">
      <c r="A97" s="276" t="s">
        <v>106</v>
      </c>
      <c r="B97" s="293"/>
      <c r="C97" s="259"/>
      <c r="D97" s="293"/>
      <c r="E97" s="293">
        <f>E75</f>
        <v>0.37</v>
      </c>
      <c r="F97" s="259">
        <f t="shared" si="9"/>
        <v>-0.7153846153846154</v>
      </c>
      <c r="G97" s="293">
        <f>G75</f>
        <v>1.3</v>
      </c>
      <c r="H97" s="293">
        <f>H75</f>
        <v>0.63</v>
      </c>
      <c r="I97" s="300">
        <f t="shared" si="8"/>
        <v>-0.50393700787401574</v>
      </c>
      <c r="J97" s="293">
        <f>J75</f>
        <v>1.27</v>
      </c>
      <c r="K97" s="259"/>
      <c r="L97" s="281"/>
      <c r="M97" s="259"/>
      <c r="N97" s="278"/>
      <c r="O97" s="18"/>
      <c r="P97" s="89"/>
      <c r="Q97" s="176"/>
      <c r="R97" s="8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 s="4" customFormat="1" ht="10.199999999999999">
      <c r="A98" s="276" t="s">
        <v>127</v>
      </c>
      <c r="B98" s="291"/>
      <c r="C98" s="259"/>
      <c r="D98" s="291"/>
      <c r="E98" s="291">
        <f>E76+E77+E78+E79+E80+E81+E82+E83+E84+E85</f>
        <v>0.96</v>
      </c>
      <c r="F98" s="259">
        <f t="shared" si="9"/>
        <v>6.6666666666666652E-2</v>
      </c>
      <c r="G98" s="291">
        <f>G76+G77+G78+G79+G80+G81+G82+G83+G84+G85</f>
        <v>0.9</v>
      </c>
      <c r="H98" s="291">
        <f>H76+H77+H78+H79+H80+H81+H82+H83+H84+H85</f>
        <v>0.95000000000000007</v>
      </c>
      <c r="I98" s="300">
        <f t="shared" si="8"/>
        <v>0.14457831325301229</v>
      </c>
      <c r="J98" s="291">
        <f>J76+J77+J78+J79+J80+J81+J82+J83+J84+J85</f>
        <v>0.83</v>
      </c>
      <c r="K98" s="259"/>
      <c r="L98" s="275"/>
      <c r="M98" s="259"/>
      <c r="N98" s="282"/>
      <c r="O98" s="18"/>
      <c r="P98" s="33"/>
      <c r="Q98" s="176"/>
      <c r="R98" s="33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spans="1:29" s="4" customFormat="1" ht="10.199999999999999">
      <c r="A99" s="276" t="s">
        <v>128</v>
      </c>
      <c r="B99" s="291"/>
      <c r="C99" s="259"/>
      <c r="D99" s="291"/>
      <c r="E99" s="291">
        <f>E86+E87+E88+E89+E90+E91</f>
        <v>0.69</v>
      </c>
      <c r="F99" s="259">
        <f t="shared" si="9"/>
        <v>-0.10389610389610393</v>
      </c>
      <c r="G99" s="291">
        <f>G86+G87+G88+G89+G90+G91</f>
        <v>0.77</v>
      </c>
      <c r="H99" s="332">
        <f>H86+H87+H88+H89+H90+H91</f>
        <v>0.22</v>
      </c>
      <c r="I99" s="333">
        <f t="shared" si="8"/>
        <v>-0.4358974358974359</v>
      </c>
      <c r="J99" s="332">
        <f>J86+J87+J88+J89+J90+J91</f>
        <v>0.39</v>
      </c>
      <c r="K99" s="259"/>
      <c r="L99" s="275"/>
      <c r="M99" s="259"/>
      <c r="N99" s="282"/>
      <c r="O99" s="18"/>
      <c r="P99" s="33"/>
      <c r="Q99" s="176"/>
      <c r="R99" s="33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</row>
    <row r="100" spans="1:29" s="13" customFormat="1" ht="10.199999999999999">
      <c r="A100" s="276" t="s">
        <v>129</v>
      </c>
      <c r="B100" s="291"/>
      <c r="C100" s="259"/>
      <c r="D100" s="291"/>
      <c r="E100" s="291">
        <f>E92+E93+E94+E95</f>
        <v>0.56999999999999995</v>
      </c>
      <c r="F100" s="259">
        <f t="shared" si="9"/>
        <v>27.499999999999996</v>
      </c>
      <c r="G100" s="291">
        <f>G92+G93+G94+G95</f>
        <v>0.02</v>
      </c>
      <c r="H100" s="332">
        <f>H92+H93+H94+H95</f>
        <v>0</v>
      </c>
      <c r="I100" s="333">
        <f t="shared" si="8"/>
        <v>-1</v>
      </c>
      <c r="J100" s="332">
        <f>J92+J93+J94+J95</f>
        <v>0.09</v>
      </c>
      <c r="K100" s="259"/>
      <c r="L100" s="275"/>
      <c r="M100" s="259"/>
      <c r="N100" s="282"/>
      <c r="O100" s="18"/>
      <c r="P100" s="33"/>
      <c r="Q100" s="176"/>
      <c r="R100" s="33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 s="165" customFormat="1" ht="10.199999999999999" customHeight="1">
      <c r="A101" s="249" t="s">
        <v>134</v>
      </c>
      <c r="B101" s="250"/>
      <c r="C101" s="251"/>
      <c r="D101" s="250"/>
      <c r="E101" s="250">
        <f>SUM(E96:E100)</f>
        <v>11.24</v>
      </c>
      <c r="F101" s="251">
        <f t="shared" si="9"/>
        <v>0.1528205128205129</v>
      </c>
      <c r="G101" s="250">
        <f>SUM(G96:G100)</f>
        <v>9.75</v>
      </c>
      <c r="H101" s="250">
        <f>SUM(H96:H100)</f>
        <v>7.54</v>
      </c>
      <c r="I101" s="334">
        <f t="shared" si="8"/>
        <v>-0.29268292682926833</v>
      </c>
      <c r="J101" s="250">
        <f>SUM(J96:J100)</f>
        <v>10.66</v>
      </c>
      <c r="K101" s="251">
        <f>(J101-L101)/L101</f>
        <v>-8.8109495295124129E-2</v>
      </c>
      <c r="L101" s="250">
        <v>11.690000000000001</v>
      </c>
      <c r="M101" s="251">
        <v>-0.10967250571210951</v>
      </c>
      <c r="N101" s="250">
        <v>13.129999999999999</v>
      </c>
    </row>
    <row r="102" spans="1:29" ht="12" customHeight="1">
      <c r="C102" s="267"/>
      <c r="F102" s="267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&amp;A</oddHeader>
  </headerFooter>
  <rowBreaks count="2" manualBreakCount="2">
    <brk id="42" max="8" man="1"/>
    <brk id="7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International + Special Divisio</vt:lpstr>
      <vt:lpstr>Other</vt:lpstr>
      <vt:lpstr>Group!Druckbereich</vt:lpstr>
      <vt:lpstr>'International + Special Divisio'!Druckbereich</vt:lpstr>
      <vt:lpstr>'North + West'!Druckbereich</vt:lpstr>
      <vt:lpstr>Other!Druckbereich</vt:lpstr>
      <vt:lpstr>'South + East'!Druckbereich</vt:lpstr>
      <vt:lpstr>Group!Drucktitel</vt:lpstr>
      <vt:lpstr>'International + Special Divisio'!Drucktitel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Marianne Gruber</cp:lastModifiedBy>
  <cp:lastPrinted>2015-08-26T10:05:25Z</cp:lastPrinted>
  <dcterms:created xsi:type="dcterms:W3CDTF">2015-02-10T08:20:45Z</dcterms:created>
  <dcterms:modified xsi:type="dcterms:W3CDTF">2015-08-26T10:12:08Z</dcterms:modified>
</cp:coreProperties>
</file>